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J:\PAYMENTS\PSFA25\Charter Intercept\"/>
    </mc:Choice>
  </mc:AlternateContent>
  <xr:revisionPtr revIDLastSave="0" documentId="8_{6E611C57-124C-45B4-9CAF-F663B8C7FE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DE Intercept  " sheetId="5" r:id="rId1"/>
    <sheet name="payment summary to Trustee" sheetId="1" r:id="rId2"/>
    <sheet name="School Districts" sheetId="2" r:id="rId3"/>
  </sheets>
  <definedNames>
    <definedName name="_Fill" localSheetId="0" hidden="1">#REF!</definedName>
    <definedName name="_Fill" hidden="1">#REF!</definedName>
    <definedName name="_xlnm._FilterDatabase" localSheetId="0" hidden="1">'CDE Intercept  '!$A$2:$BE$2</definedName>
    <definedName name="_xlnm.Print_Area" localSheetId="0">'CDE Intercept  '!$N$17:$N$1040</definedName>
    <definedName name="_xlnm.Print_Area" localSheetId="1">'payment summary to Trustee'!$AW$17:$AW$1032</definedName>
    <definedName name="_xlnm.Print_Titles" localSheetId="0">'CDE Intercept  '!$C:$E,'CDE Intercept  '!$1:$3</definedName>
    <definedName name="_xlnm.Print_Titles" localSheetId="1">'payment summary to Trustee'!$B:$D,'payment summary to Trustee'!$1:$3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3" i="5" l="1"/>
  <c r="O115" i="5"/>
  <c r="O113" i="5"/>
  <c r="O1015" i="5" l="1"/>
  <c r="O835" i="5"/>
  <c r="O841" i="5" l="1"/>
  <c r="BA841" i="1"/>
  <c r="BA835" i="1"/>
  <c r="Q841" i="5"/>
  <c r="Q835" i="5"/>
  <c r="BA991" i="1"/>
  <c r="O991" i="5"/>
  <c r="O373" i="5"/>
  <c r="O451" i="5"/>
  <c r="Q703" i="5"/>
  <c r="BA67" i="1" l="1"/>
  <c r="BA253" i="1"/>
  <c r="BA251" i="1"/>
  <c r="BB1021" i="1"/>
  <c r="BC1021" i="1" l="1"/>
  <c r="N1036" i="5"/>
  <c r="Q1021" i="5"/>
  <c r="AW1025" i="1"/>
  <c r="BC841" i="1"/>
  <c r="BB841" i="1"/>
  <c r="BC835" i="1"/>
  <c r="BB835" i="1"/>
  <c r="BC703" i="1"/>
  <c r="O545" i="5"/>
  <c r="O251" i="5"/>
  <c r="M252" i="5"/>
  <c r="L252" i="5"/>
  <c r="M114" i="5"/>
  <c r="L114" i="5"/>
  <c r="BA113" i="1"/>
  <c r="BA115" i="1"/>
  <c r="BC253" i="1"/>
  <c r="BB253" i="1"/>
  <c r="BC115" i="1"/>
  <c r="BB115" i="1"/>
  <c r="P841" i="5" l="1"/>
  <c r="P835" i="5"/>
  <c r="R835" i="5" l="1"/>
  <c r="P1021" i="5" l="1"/>
  <c r="O1013" i="5"/>
  <c r="O1009" i="5"/>
  <c r="O1007" i="5"/>
  <c r="O997" i="5"/>
  <c r="O996" i="5"/>
  <c r="O995" i="5"/>
  <c r="P991" i="5"/>
  <c r="O985" i="5"/>
  <c r="O984" i="5"/>
  <c r="O983" i="5"/>
  <c r="O986" i="5" s="1"/>
  <c r="O979" i="5"/>
  <c r="O978" i="5"/>
  <c r="O977" i="5"/>
  <c r="O973" i="5"/>
  <c r="O972" i="5"/>
  <c r="O971" i="5"/>
  <c r="O967" i="5"/>
  <c r="O966" i="5"/>
  <c r="O965" i="5"/>
  <c r="O943" i="5"/>
  <c r="O942" i="5"/>
  <c r="O941" i="5"/>
  <c r="O937" i="5"/>
  <c r="O936" i="5"/>
  <c r="O935" i="5"/>
  <c r="O931" i="5"/>
  <c r="O930" i="5"/>
  <c r="O929" i="5"/>
  <c r="O925" i="5"/>
  <c r="O924" i="5"/>
  <c r="O923" i="5"/>
  <c r="O919" i="5"/>
  <c r="O918" i="5"/>
  <c r="O917" i="5"/>
  <c r="O913" i="5"/>
  <c r="O912" i="5"/>
  <c r="O911" i="5"/>
  <c r="O907" i="5"/>
  <c r="O906" i="5"/>
  <c r="O905" i="5"/>
  <c r="O901" i="5"/>
  <c r="O900" i="5"/>
  <c r="O899" i="5"/>
  <c r="O895" i="5"/>
  <c r="O889" i="5"/>
  <c r="O888" i="5"/>
  <c r="O887" i="5"/>
  <c r="O890" i="5" s="1"/>
  <c r="O883" i="5"/>
  <c r="O882" i="5"/>
  <c r="O881" i="5"/>
  <c r="O877" i="5"/>
  <c r="O876" i="5"/>
  <c r="O875" i="5"/>
  <c r="O871" i="5"/>
  <c r="O870" i="5"/>
  <c r="O872" i="5" s="1"/>
  <c r="O869" i="5"/>
  <c r="O865" i="5"/>
  <c r="O864" i="5"/>
  <c r="O863" i="5"/>
  <c r="O829" i="5"/>
  <c r="O828" i="5"/>
  <c r="O827" i="5"/>
  <c r="O817" i="5"/>
  <c r="O816" i="5"/>
  <c r="O815" i="5"/>
  <c r="O805" i="5"/>
  <c r="O804" i="5"/>
  <c r="O803" i="5"/>
  <c r="O799" i="5"/>
  <c r="O798" i="5"/>
  <c r="O797" i="5"/>
  <c r="O793" i="5"/>
  <c r="O792" i="5"/>
  <c r="O791" i="5"/>
  <c r="O787" i="5"/>
  <c r="O786" i="5"/>
  <c r="O785" i="5"/>
  <c r="O781" i="5"/>
  <c r="O780" i="5"/>
  <c r="O779" i="5"/>
  <c r="O782" i="5" s="1"/>
  <c r="O769" i="5"/>
  <c r="O768" i="5"/>
  <c r="O767" i="5"/>
  <c r="O751" i="5"/>
  <c r="O750" i="5"/>
  <c r="O749" i="5"/>
  <c r="O745" i="5"/>
  <c r="O744" i="5"/>
  <c r="O743" i="5"/>
  <c r="O733" i="5"/>
  <c r="O732" i="5"/>
  <c r="O731" i="5"/>
  <c r="O727" i="5"/>
  <c r="O726" i="5"/>
  <c r="O728" i="5" s="1"/>
  <c r="O725" i="5"/>
  <c r="O721" i="5"/>
  <c r="O720" i="5"/>
  <c r="O719" i="5"/>
  <c r="O715" i="5"/>
  <c r="O714" i="5"/>
  <c r="O713" i="5"/>
  <c r="O709" i="5"/>
  <c r="O708" i="5"/>
  <c r="O707" i="5"/>
  <c r="O691" i="5"/>
  <c r="O690" i="5"/>
  <c r="O689" i="5"/>
  <c r="O685" i="5"/>
  <c r="O684" i="5"/>
  <c r="O683" i="5"/>
  <c r="O679" i="5"/>
  <c r="O678" i="5"/>
  <c r="O677" i="5"/>
  <c r="O673" i="5"/>
  <c r="O672" i="5"/>
  <c r="O671" i="5"/>
  <c r="O667" i="5"/>
  <c r="O666" i="5"/>
  <c r="O665" i="5"/>
  <c r="O661" i="5"/>
  <c r="O660" i="5"/>
  <c r="O659" i="5"/>
  <c r="O655" i="5"/>
  <c r="O654" i="5"/>
  <c r="O653" i="5"/>
  <c r="O649" i="5"/>
  <c r="O648" i="5"/>
  <c r="O647" i="5"/>
  <c r="O637" i="5"/>
  <c r="O636" i="5"/>
  <c r="O635" i="5"/>
  <c r="O625" i="5"/>
  <c r="O624" i="5"/>
  <c r="O626" i="5" s="1"/>
  <c r="O623" i="5"/>
  <c r="O619" i="5"/>
  <c r="O618" i="5"/>
  <c r="O617" i="5"/>
  <c r="O613" i="5"/>
  <c r="O612" i="5"/>
  <c r="O611" i="5"/>
  <c r="O601" i="5"/>
  <c r="O600" i="5"/>
  <c r="O599" i="5"/>
  <c r="O595" i="5"/>
  <c r="O594" i="5"/>
  <c r="O593" i="5"/>
  <c r="O589" i="5"/>
  <c r="O588" i="5"/>
  <c r="O587" i="5"/>
  <c r="O577" i="5"/>
  <c r="O576" i="5"/>
  <c r="O578" i="5" s="1"/>
  <c r="O575" i="5"/>
  <c r="O571" i="5"/>
  <c r="O570" i="5"/>
  <c r="O569" i="5"/>
  <c r="O565" i="5"/>
  <c r="O566" i="5" s="1"/>
  <c r="O563" i="5"/>
  <c r="O559" i="5"/>
  <c r="O558" i="5"/>
  <c r="O557" i="5"/>
  <c r="O541" i="5"/>
  <c r="O540" i="5"/>
  <c r="O539" i="5"/>
  <c r="O523" i="5"/>
  <c r="O522" i="5"/>
  <c r="O521" i="5"/>
  <c r="O517" i="5"/>
  <c r="O516" i="5"/>
  <c r="O515" i="5"/>
  <c r="O511" i="5"/>
  <c r="O493" i="5"/>
  <c r="O492" i="5"/>
  <c r="O491" i="5"/>
  <c r="O481" i="5"/>
  <c r="O480" i="5"/>
  <c r="O479" i="5"/>
  <c r="O469" i="5"/>
  <c r="O468" i="5"/>
  <c r="O467" i="5"/>
  <c r="O457" i="5"/>
  <c r="O456" i="5"/>
  <c r="O455" i="5"/>
  <c r="O445" i="5"/>
  <c r="O446" i="5" s="1"/>
  <c r="O444" i="5"/>
  <c r="O443" i="5"/>
  <c r="O439" i="5"/>
  <c r="O438" i="5"/>
  <c r="O437" i="5"/>
  <c r="O433" i="5"/>
  <c r="O432" i="5"/>
  <c r="O431" i="5"/>
  <c r="O427" i="5"/>
  <c r="O426" i="5"/>
  <c r="O425" i="5"/>
  <c r="O367" i="5"/>
  <c r="O329" i="5"/>
  <c r="O288" i="5"/>
  <c r="O233" i="5"/>
  <c r="O216" i="5"/>
  <c r="O174" i="5"/>
  <c r="O131" i="5"/>
  <c r="O114" i="5"/>
  <c r="O95" i="5"/>
  <c r="O41" i="5"/>
  <c r="O19" i="5"/>
  <c r="U895" i="5"/>
  <c r="P1036" i="5"/>
  <c r="P512" i="5"/>
  <c r="N122" i="5"/>
  <c r="U19" i="5"/>
  <c r="T19" i="5"/>
  <c r="Q1037" i="5"/>
  <c r="P1037" i="5"/>
  <c r="O1037" i="5"/>
  <c r="Q1036" i="5"/>
  <c r="O1036" i="5"/>
  <c r="Q1032" i="5"/>
  <c r="Q1025" i="5"/>
  <c r="J1025" i="5"/>
  <c r="I1025" i="5"/>
  <c r="H1025" i="5"/>
  <c r="G1025" i="5"/>
  <c r="F1024" i="5"/>
  <c r="BD1021" i="5"/>
  <c r="BD1022" i="5" s="1"/>
  <c r="BC1021" i="5"/>
  <c r="BC1022" i="5" s="1"/>
  <c r="BB1021" i="5"/>
  <c r="BB1022" i="5" s="1"/>
  <c r="BA1021" i="5"/>
  <c r="BA1022" i="5" s="1"/>
  <c r="AZ1021" i="5"/>
  <c r="AZ1022" i="5" s="1"/>
  <c r="AY1021" i="5"/>
  <c r="T1021" i="5"/>
  <c r="Q1022" i="5"/>
  <c r="P1022" i="5"/>
  <c r="O1021" i="5"/>
  <c r="O1022" i="5" s="1"/>
  <c r="N1021" i="5"/>
  <c r="N1022" i="5" s="1"/>
  <c r="M1021" i="5"/>
  <c r="M1022" i="5" s="1"/>
  <c r="L1021" i="5"/>
  <c r="BE1020" i="5"/>
  <c r="T1020" i="5"/>
  <c r="L1020" i="5"/>
  <c r="U1020" i="5" s="1"/>
  <c r="BE1019" i="5"/>
  <c r="U1019" i="5"/>
  <c r="T1019" i="5"/>
  <c r="R1019" i="5"/>
  <c r="BD1016" i="5"/>
  <c r="BC1016" i="5"/>
  <c r="BB1016" i="5"/>
  <c r="BA1016" i="5"/>
  <c r="AZ1016" i="5"/>
  <c r="AY1016" i="5"/>
  <c r="Q1016" i="5"/>
  <c r="O1016" i="5"/>
  <c r="BE1015" i="5"/>
  <c r="T1015" i="5"/>
  <c r="BE1014" i="5"/>
  <c r="U1014" i="5"/>
  <c r="T1014" i="5"/>
  <c r="R1014" i="5"/>
  <c r="BE1013" i="5"/>
  <c r="T1013" i="5"/>
  <c r="C1012" i="5"/>
  <c r="C1018" i="5" s="1"/>
  <c r="BD1010" i="5"/>
  <c r="BC1010" i="5"/>
  <c r="BB1010" i="5"/>
  <c r="BA1010" i="5"/>
  <c r="AZ1010" i="5"/>
  <c r="AY1010" i="5"/>
  <c r="Q1010" i="5"/>
  <c r="O1010" i="5"/>
  <c r="BE1009" i="5"/>
  <c r="T1009" i="5"/>
  <c r="BE1008" i="5"/>
  <c r="U1008" i="5"/>
  <c r="T1008" i="5"/>
  <c r="R1008" i="5"/>
  <c r="BE1007" i="5"/>
  <c r="BE1010" i="5" s="1"/>
  <c r="T1007" i="5"/>
  <c r="Q1004" i="5"/>
  <c r="P1004" i="5"/>
  <c r="O1004" i="5"/>
  <c r="N1004" i="5"/>
  <c r="M1004" i="5"/>
  <c r="L1004" i="5"/>
  <c r="K1004" i="5"/>
  <c r="U1003" i="5"/>
  <c r="T1003" i="5"/>
  <c r="R1003" i="5"/>
  <c r="U1002" i="5"/>
  <c r="T1002" i="5"/>
  <c r="R1002" i="5"/>
  <c r="U1001" i="5"/>
  <c r="T1001" i="5"/>
  <c r="T1004" i="5" s="1"/>
  <c r="R1001" i="5"/>
  <c r="Q998" i="5"/>
  <c r="O998" i="5"/>
  <c r="J997" i="5"/>
  <c r="J998" i="5" s="1"/>
  <c r="I997" i="5"/>
  <c r="T996" i="5"/>
  <c r="M996" i="5" s="1"/>
  <c r="T995" i="5"/>
  <c r="J992" i="5"/>
  <c r="I992" i="5"/>
  <c r="H992" i="5"/>
  <c r="G992" i="5"/>
  <c r="F992" i="5"/>
  <c r="T991" i="5"/>
  <c r="Q991" i="5"/>
  <c r="Q992" i="5" s="1"/>
  <c r="P992" i="5"/>
  <c r="O992" i="5"/>
  <c r="N991" i="5"/>
  <c r="N992" i="5" s="1"/>
  <c r="M991" i="5"/>
  <c r="M992" i="5" s="1"/>
  <c r="L991" i="5"/>
  <c r="L992" i="5" s="1"/>
  <c r="K991" i="5"/>
  <c r="K992" i="5" s="1"/>
  <c r="U990" i="5"/>
  <c r="T990" i="5"/>
  <c r="R990" i="5"/>
  <c r="U989" i="5"/>
  <c r="T989" i="5"/>
  <c r="R989" i="5"/>
  <c r="Q986" i="5"/>
  <c r="J985" i="5"/>
  <c r="J986" i="5" s="1"/>
  <c r="I985" i="5"/>
  <c r="I986" i="5" s="1"/>
  <c r="H985" i="5"/>
  <c r="H986" i="5" s="1"/>
  <c r="G985" i="5"/>
  <c r="G986" i="5" s="1"/>
  <c r="F985" i="5"/>
  <c r="F986" i="5" s="1"/>
  <c r="T984" i="5"/>
  <c r="M984" i="5" s="1"/>
  <c r="T983" i="5"/>
  <c r="L983" i="5" s="1"/>
  <c r="Q980" i="5"/>
  <c r="O980" i="5"/>
  <c r="J979" i="5"/>
  <c r="J980" i="5" s="1"/>
  <c r="I979" i="5"/>
  <c r="I980" i="5" s="1"/>
  <c r="H979" i="5"/>
  <c r="H980" i="5" s="1"/>
  <c r="G979" i="5"/>
  <c r="G980" i="5" s="1"/>
  <c r="F979" i="5"/>
  <c r="F980" i="5" s="1"/>
  <c r="T978" i="5"/>
  <c r="T977" i="5"/>
  <c r="Q974" i="5"/>
  <c r="O974" i="5"/>
  <c r="J974" i="5"/>
  <c r="I974" i="5"/>
  <c r="H974" i="5"/>
  <c r="G974" i="5"/>
  <c r="F974" i="5"/>
  <c r="T973" i="5"/>
  <c r="T972" i="5"/>
  <c r="T971" i="5"/>
  <c r="Q968" i="5"/>
  <c r="O968" i="5"/>
  <c r="J967" i="5"/>
  <c r="J968" i="5" s="1"/>
  <c r="I967" i="5"/>
  <c r="I968" i="5" s="1"/>
  <c r="H967" i="5"/>
  <c r="H968" i="5" s="1"/>
  <c r="G967" i="5"/>
  <c r="F967" i="5"/>
  <c r="F968" i="5" s="1"/>
  <c r="T966" i="5"/>
  <c r="T965" i="5"/>
  <c r="P965" i="5" s="1"/>
  <c r="Q962" i="5"/>
  <c r="P962" i="5"/>
  <c r="O962" i="5"/>
  <c r="J962" i="5"/>
  <c r="I962" i="5"/>
  <c r="H962" i="5"/>
  <c r="G962" i="5"/>
  <c r="F962" i="5"/>
  <c r="T961" i="5"/>
  <c r="M961" i="5"/>
  <c r="L961" i="5"/>
  <c r="K961" i="5"/>
  <c r="T960" i="5"/>
  <c r="N960" i="5"/>
  <c r="M960" i="5"/>
  <c r="L960" i="5"/>
  <c r="K960" i="5"/>
  <c r="T959" i="5"/>
  <c r="N959" i="5"/>
  <c r="M959" i="5"/>
  <c r="L959" i="5"/>
  <c r="K959" i="5"/>
  <c r="Q956" i="5"/>
  <c r="P956" i="5"/>
  <c r="O956" i="5"/>
  <c r="N956" i="5"/>
  <c r="M956" i="5"/>
  <c r="L956" i="5"/>
  <c r="K956" i="5"/>
  <c r="J956" i="5"/>
  <c r="I956" i="5"/>
  <c r="H956" i="5"/>
  <c r="G956" i="5"/>
  <c r="F956" i="5"/>
  <c r="U955" i="5"/>
  <c r="T955" i="5"/>
  <c r="R955" i="5"/>
  <c r="U954" i="5"/>
  <c r="T954" i="5"/>
  <c r="R954" i="5"/>
  <c r="U953" i="5"/>
  <c r="T953" i="5"/>
  <c r="R953" i="5"/>
  <c r="Q944" i="5"/>
  <c r="O944" i="5"/>
  <c r="J944" i="5"/>
  <c r="I944" i="5"/>
  <c r="H944" i="5"/>
  <c r="G944" i="5"/>
  <c r="F944" i="5"/>
  <c r="T943" i="5"/>
  <c r="T942" i="5"/>
  <c r="T941" i="5"/>
  <c r="N944" i="5"/>
  <c r="Q938" i="5"/>
  <c r="O938" i="5"/>
  <c r="I938" i="5"/>
  <c r="J937" i="5"/>
  <c r="J938" i="5" s="1"/>
  <c r="I937" i="5"/>
  <c r="H937" i="5"/>
  <c r="H938" i="5" s="1"/>
  <c r="G937" i="5"/>
  <c r="G938" i="5" s="1"/>
  <c r="F937" i="5"/>
  <c r="T936" i="5"/>
  <c r="L936" i="5" s="1"/>
  <c r="T935" i="5"/>
  <c r="L935" i="5" s="1"/>
  <c r="Q932" i="5"/>
  <c r="O932" i="5"/>
  <c r="J932" i="5"/>
  <c r="I932" i="5"/>
  <c r="H932" i="5"/>
  <c r="G932" i="5"/>
  <c r="F932" i="5"/>
  <c r="T931" i="5"/>
  <c r="T930" i="5"/>
  <c r="L930" i="5" s="1"/>
  <c r="T929" i="5"/>
  <c r="Q926" i="5"/>
  <c r="O926" i="5"/>
  <c r="J926" i="5"/>
  <c r="I926" i="5"/>
  <c r="H926" i="5"/>
  <c r="G926" i="5"/>
  <c r="F926" i="5"/>
  <c r="T925" i="5"/>
  <c r="K925" i="5" s="1"/>
  <c r="T924" i="5"/>
  <c r="T923" i="5"/>
  <c r="M923" i="5" s="1"/>
  <c r="Q920" i="5"/>
  <c r="O920" i="5"/>
  <c r="J919" i="5"/>
  <c r="J920" i="5" s="1"/>
  <c r="I919" i="5"/>
  <c r="I920" i="5" s="1"/>
  <c r="H919" i="5"/>
  <c r="H920" i="5" s="1"/>
  <c r="G919" i="5"/>
  <c r="G920" i="5" s="1"/>
  <c r="F919" i="5"/>
  <c r="T918" i="5"/>
  <c r="L918" i="5" s="1"/>
  <c r="T917" i="5"/>
  <c r="K917" i="5" s="1"/>
  <c r="Q914" i="5"/>
  <c r="O914" i="5"/>
  <c r="J914" i="5"/>
  <c r="I914" i="5"/>
  <c r="H914" i="5"/>
  <c r="G914" i="5"/>
  <c r="F914" i="5"/>
  <c r="T913" i="5"/>
  <c r="T912" i="5"/>
  <c r="T911" i="5"/>
  <c r="Q908" i="5"/>
  <c r="O908" i="5"/>
  <c r="J907" i="5"/>
  <c r="J908" i="5" s="1"/>
  <c r="I907" i="5"/>
  <c r="I908" i="5" s="1"/>
  <c r="H907" i="5"/>
  <c r="H908" i="5" s="1"/>
  <c r="G907" i="5"/>
  <c r="G908" i="5" s="1"/>
  <c r="F907" i="5"/>
  <c r="F908" i="5" s="1"/>
  <c r="T906" i="5"/>
  <c r="T905" i="5"/>
  <c r="Q902" i="5"/>
  <c r="O902" i="5"/>
  <c r="J902" i="5"/>
  <c r="I902" i="5"/>
  <c r="H902" i="5"/>
  <c r="G902" i="5"/>
  <c r="F902" i="5"/>
  <c r="T901" i="5"/>
  <c r="L901" i="5"/>
  <c r="T900" i="5"/>
  <c r="T899" i="5"/>
  <c r="K899" i="5" s="1"/>
  <c r="Q896" i="5"/>
  <c r="P896" i="5"/>
  <c r="O896" i="5"/>
  <c r="N896" i="5"/>
  <c r="M896" i="5"/>
  <c r="L896" i="5"/>
  <c r="K896" i="5"/>
  <c r="J896" i="5"/>
  <c r="I896" i="5"/>
  <c r="H896" i="5"/>
  <c r="G896" i="5"/>
  <c r="F896" i="5"/>
  <c r="T895" i="5"/>
  <c r="R895" i="5"/>
  <c r="U894" i="5"/>
  <c r="T894" i="5"/>
  <c r="R894" i="5"/>
  <c r="U893" i="5"/>
  <c r="T893" i="5"/>
  <c r="R893" i="5"/>
  <c r="Q890" i="5"/>
  <c r="J890" i="5"/>
  <c r="I890" i="5"/>
  <c r="H890" i="5"/>
  <c r="G890" i="5"/>
  <c r="F890" i="5"/>
  <c r="T889" i="5"/>
  <c r="L889" i="5" s="1"/>
  <c r="T888" i="5"/>
  <c r="M888" i="5" s="1"/>
  <c r="T887" i="5"/>
  <c r="M887" i="5" s="1"/>
  <c r="N890" i="5"/>
  <c r="Q884" i="5"/>
  <c r="O884" i="5"/>
  <c r="J884" i="5"/>
  <c r="I884" i="5"/>
  <c r="H884" i="5"/>
  <c r="G884" i="5"/>
  <c r="F884" i="5"/>
  <c r="T883" i="5"/>
  <c r="M883" i="5" s="1"/>
  <c r="T882" i="5"/>
  <c r="K882" i="5" s="1"/>
  <c r="T881" i="5"/>
  <c r="Q878" i="5"/>
  <c r="O878" i="5"/>
  <c r="N878" i="5"/>
  <c r="J878" i="5"/>
  <c r="I878" i="5"/>
  <c r="H878" i="5"/>
  <c r="G878" i="5"/>
  <c r="F878" i="5"/>
  <c r="T877" i="5"/>
  <c r="T876" i="5"/>
  <c r="M876" i="5" s="1"/>
  <c r="T875" i="5"/>
  <c r="M875" i="5" s="1"/>
  <c r="Q872" i="5"/>
  <c r="J871" i="5"/>
  <c r="J872" i="5" s="1"/>
  <c r="I871" i="5"/>
  <c r="I872" i="5" s="1"/>
  <c r="H871" i="5"/>
  <c r="H872" i="5" s="1"/>
  <c r="G871" i="5"/>
  <c r="G872" i="5" s="1"/>
  <c r="F871" i="5"/>
  <c r="T870" i="5"/>
  <c r="K870" i="5" s="1"/>
  <c r="T869" i="5"/>
  <c r="Q866" i="5"/>
  <c r="O866" i="5"/>
  <c r="J865" i="5"/>
  <c r="J866" i="5" s="1"/>
  <c r="I865" i="5"/>
  <c r="I866" i="5" s="1"/>
  <c r="H865" i="5"/>
  <c r="H866" i="5" s="1"/>
  <c r="G865" i="5"/>
  <c r="G866" i="5" s="1"/>
  <c r="F865" i="5"/>
  <c r="F866" i="5" s="1"/>
  <c r="T864" i="5"/>
  <c r="M864" i="5"/>
  <c r="T863" i="5"/>
  <c r="L863" i="5" s="1"/>
  <c r="Q859" i="5"/>
  <c r="Q860" i="5" s="1"/>
  <c r="P859" i="5"/>
  <c r="P860" i="5" s="1"/>
  <c r="O859" i="5"/>
  <c r="O860" i="5" s="1"/>
  <c r="N859" i="5"/>
  <c r="M859" i="5"/>
  <c r="L859" i="5"/>
  <c r="K859" i="5"/>
  <c r="J859" i="5"/>
  <c r="J860" i="5" s="1"/>
  <c r="I859" i="5"/>
  <c r="I860" i="5" s="1"/>
  <c r="H859" i="5"/>
  <c r="H860" i="5" s="1"/>
  <c r="G859" i="5"/>
  <c r="G860" i="5" s="1"/>
  <c r="F859" i="5"/>
  <c r="N858" i="5"/>
  <c r="M858" i="5"/>
  <c r="L858" i="5"/>
  <c r="K858" i="5"/>
  <c r="F858" i="5"/>
  <c r="T857" i="5"/>
  <c r="N857" i="5"/>
  <c r="M857" i="5"/>
  <c r="L857" i="5"/>
  <c r="K857" i="5"/>
  <c r="Q853" i="5"/>
  <c r="Q854" i="5" s="1"/>
  <c r="P853" i="5"/>
  <c r="P854" i="5" s="1"/>
  <c r="O853" i="5"/>
  <c r="O854" i="5" s="1"/>
  <c r="N853" i="5"/>
  <c r="N854" i="5" s="1"/>
  <c r="M853" i="5"/>
  <c r="M854" i="5" s="1"/>
  <c r="L853" i="5"/>
  <c r="L854" i="5" s="1"/>
  <c r="K853" i="5"/>
  <c r="J853" i="5"/>
  <c r="J854" i="5" s="1"/>
  <c r="I853" i="5"/>
  <c r="I854" i="5" s="1"/>
  <c r="H853" i="5"/>
  <c r="G853" i="5"/>
  <c r="G854" i="5" s="1"/>
  <c r="F853" i="5"/>
  <c r="F854" i="5" s="1"/>
  <c r="U852" i="5"/>
  <c r="T852" i="5"/>
  <c r="R852" i="5"/>
  <c r="U851" i="5"/>
  <c r="T851" i="5"/>
  <c r="R851" i="5"/>
  <c r="Q847" i="5"/>
  <c r="Q848" i="5" s="1"/>
  <c r="P847" i="5"/>
  <c r="P848" i="5" s="1"/>
  <c r="O847" i="5"/>
  <c r="O848" i="5" s="1"/>
  <c r="N847" i="5"/>
  <c r="N848" i="5" s="1"/>
  <c r="M847" i="5"/>
  <c r="M848" i="5" s="1"/>
  <c r="L847" i="5"/>
  <c r="L848" i="5" s="1"/>
  <c r="K847" i="5"/>
  <c r="J847" i="5"/>
  <c r="J848" i="5" s="1"/>
  <c r="I847" i="5"/>
  <c r="I848" i="5" s="1"/>
  <c r="H847" i="5"/>
  <c r="H848" i="5" s="1"/>
  <c r="G847" i="5"/>
  <c r="G848" i="5" s="1"/>
  <c r="F847" i="5"/>
  <c r="U846" i="5"/>
  <c r="F846" i="5"/>
  <c r="U845" i="5"/>
  <c r="T845" i="5"/>
  <c r="R845" i="5"/>
  <c r="Q842" i="5"/>
  <c r="P842" i="5"/>
  <c r="O842" i="5"/>
  <c r="N841" i="5"/>
  <c r="M841" i="5"/>
  <c r="L841" i="5"/>
  <c r="K841" i="5"/>
  <c r="J841" i="5"/>
  <c r="J842" i="5" s="1"/>
  <c r="I841" i="5"/>
  <c r="I842" i="5" s="1"/>
  <c r="H841" i="5"/>
  <c r="H842" i="5" s="1"/>
  <c r="G841" i="5"/>
  <c r="G842" i="5" s="1"/>
  <c r="F841" i="5"/>
  <c r="N840" i="5"/>
  <c r="M840" i="5"/>
  <c r="L840" i="5"/>
  <c r="K840" i="5"/>
  <c r="F840" i="5"/>
  <c r="T839" i="5"/>
  <c r="N839" i="5"/>
  <c r="M839" i="5"/>
  <c r="L839" i="5"/>
  <c r="K839" i="5"/>
  <c r="Q836" i="5"/>
  <c r="P836" i="5"/>
  <c r="O836" i="5"/>
  <c r="N835" i="5"/>
  <c r="N836" i="5" s="1"/>
  <c r="M835" i="5"/>
  <c r="M836" i="5" s="1"/>
  <c r="L835" i="5"/>
  <c r="L836" i="5" s="1"/>
  <c r="K835" i="5"/>
  <c r="K836" i="5" s="1"/>
  <c r="J835" i="5"/>
  <c r="J836" i="5" s="1"/>
  <c r="I835" i="5"/>
  <c r="I836" i="5" s="1"/>
  <c r="H835" i="5"/>
  <c r="H836" i="5" s="1"/>
  <c r="G835" i="5"/>
  <c r="F835" i="5"/>
  <c r="U834" i="5"/>
  <c r="F834" i="5"/>
  <c r="R834" i="5" s="1"/>
  <c r="U833" i="5"/>
  <c r="T833" i="5"/>
  <c r="R833" i="5"/>
  <c r="Q830" i="5"/>
  <c r="O830" i="5"/>
  <c r="J829" i="5"/>
  <c r="J830" i="5" s="1"/>
  <c r="I829" i="5"/>
  <c r="I830" i="5" s="1"/>
  <c r="H829" i="5"/>
  <c r="H830" i="5" s="1"/>
  <c r="G829" i="5"/>
  <c r="G830" i="5" s="1"/>
  <c r="F829" i="5"/>
  <c r="T828" i="5"/>
  <c r="L828" i="5" s="1"/>
  <c r="T827" i="5"/>
  <c r="Q823" i="5"/>
  <c r="Q824" i="5" s="1"/>
  <c r="P823" i="5"/>
  <c r="P824" i="5" s="1"/>
  <c r="O823" i="5"/>
  <c r="O824" i="5" s="1"/>
  <c r="N823" i="5"/>
  <c r="N824" i="5" s="1"/>
  <c r="M823" i="5"/>
  <c r="M824" i="5" s="1"/>
  <c r="L823" i="5"/>
  <c r="L824" i="5" s="1"/>
  <c r="K823" i="5"/>
  <c r="K824" i="5" s="1"/>
  <c r="J823" i="5"/>
  <c r="J824" i="5" s="1"/>
  <c r="I823" i="5"/>
  <c r="I824" i="5" s="1"/>
  <c r="H823" i="5"/>
  <c r="H824" i="5" s="1"/>
  <c r="G823" i="5"/>
  <c r="F823" i="5"/>
  <c r="F824" i="5" s="1"/>
  <c r="U822" i="5"/>
  <c r="T822" i="5"/>
  <c r="R822" i="5"/>
  <c r="U821" i="5"/>
  <c r="T821" i="5"/>
  <c r="R821" i="5"/>
  <c r="Q818" i="5"/>
  <c r="O818" i="5"/>
  <c r="J818" i="5"/>
  <c r="I818" i="5"/>
  <c r="H818" i="5"/>
  <c r="G818" i="5"/>
  <c r="F818" i="5"/>
  <c r="T817" i="5"/>
  <c r="K817" i="5" s="1"/>
  <c r="T816" i="5"/>
  <c r="T815" i="5"/>
  <c r="Q811" i="5"/>
  <c r="Q812" i="5" s="1"/>
  <c r="P811" i="5"/>
  <c r="P812" i="5" s="1"/>
  <c r="O811" i="5"/>
  <c r="O812" i="5" s="1"/>
  <c r="N811" i="5"/>
  <c r="N812" i="5" s="1"/>
  <c r="M811" i="5"/>
  <c r="M812" i="5" s="1"/>
  <c r="L811" i="5"/>
  <c r="L812" i="5" s="1"/>
  <c r="K811" i="5"/>
  <c r="K812" i="5" s="1"/>
  <c r="J811" i="5"/>
  <c r="J812" i="5" s="1"/>
  <c r="I811" i="5"/>
  <c r="H811" i="5"/>
  <c r="H812" i="5" s="1"/>
  <c r="G811" i="5"/>
  <c r="G812" i="5" s="1"/>
  <c r="F811" i="5"/>
  <c r="F812" i="5" s="1"/>
  <c r="U810" i="5"/>
  <c r="T810" i="5"/>
  <c r="R810" i="5"/>
  <c r="U809" i="5"/>
  <c r="T809" i="5"/>
  <c r="R809" i="5"/>
  <c r="Q806" i="5"/>
  <c r="O806" i="5"/>
  <c r="J805" i="5"/>
  <c r="J806" i="5" s="1"/>
  <c r="I805" i="5"/>
  <c r="I806" i="5" s="1"/>
  <c r="H805" i="5"/>
  <c r="H806" i="5" s="1"/>
  <c r="G805" i="5"/>
  <c r="F805" i="5"/>
  <c r="F806" i="5" s="1"/>
  <c r="T804" i="5"/>
  <c r="T803" i="5"/>
  <c r="L803" i="5" s="1"/>
  <c r="K803" i="5"/>
  <c r="Q800" i="5"/>
  <c r="O800" i="5"/>
  <c r="J799" i="5"/>
  <c r="J800" i="5" s="1"/>
  <c r="I799" i="5"/>
  <c r="I800" i="5" s="1"/>
  <c r="H799" i="5"/>
  <c r="H800" i="5" s="1"/>
  <c r="G799" i="5"/>
  <c r="G800" i="5" s="1"/>
  <c r="F799" i="5"/>
  <c r="F800" i="5" s="1"/>
  <c r="T798" i="5"/>
  <c r="T797" i="5"/>
  <c r="K797" i="5"/>
  <c r="Q794" i="5"/>
  <c r="O794" i="5"/>
  <c r="J793" i="5"/>
  <c r="J794" i="5" s="1"/>
  <c r="I793" i="5"/>
  <c r="I794" i="5" s="1"/>
  <c r="H793" i="5"/>
  <c r="H794" i="5" s="1"/>
  <c r="G793" i="5"/>
  <c r="G794" i="5" s="1"/>
  <c r="F793" i="5"/>
  <c r="T792" i="5"/>
  <c r="T791" i="5"/>
  <c r="Q788" i="5"/>
  <c r="O788" i="5"/>
  <c r="J788" i="5"/>
  <c r="J787" i="5"/>
  <c r="I787" i="5"/>
  <c r="I788" i="5" s="1"/>
  <c r="H787" i="5"/>
  <c r="H788" i="5" s="1"/>
  <c r="G787" i="5"/>
  <c r="G788" i="5" s="1"/>
  <c r="F787" i="5"/>
  <c r="F788" i="5" s="1"/>
  <c r="T786" i="5"/>
  <c r="T785" i="5"/>
  <c r="M785" i="5" s="1"/>
  <c r="Q782" i="5"/>
  <c r="J781" i="5"/>
  <c r="J782" i="5" s="1"/>
  <c r="I781" i="5"/>
  <c r="I782" i="5" s="1"/>
  <c r="H781" i="5"/>
  <c r="H782" i="5" s="1"/>
  <c r="G781" i="5"/>
  <c r="G782" i="5" s="1"/>
  <c r="F781" i="5"/>
  <c r="T780" i="5"/>
  <c r="M780" i="5" s="1"/>
  <c r="T779" i="5"/>
  <c r="L779" i="5" s="1"/>
  <c r="Q775" i="5"/>
  <c r="Q776" i="5" s="1"/>
  <c r="P775" i="5"/>
  <c r="P776" i="5" s="1"/>
  <c r="O775" i="5"/>
  <c r="O776" i="5" s="1"/>
  <c r="N775" i="5"/>
  <c r="N776" i="5" s="1"/>
  <c r="M775" i="5"/>
  <c r="M776" i="5" s="1"/>
  <c r="L775" i="5"/>
  <c r="L776" i="5" s="1"/>
  <c r="K775" i="5"/>
  <c r="J775" i="5"/>
  <c r="J776" i="5" s="1"/>
  <c r="I775" i="5"/>
  <c r="I776" i="5" s="1"/>
  <c r="H775" i="5"/>
  <c r="H776" i="5" s="1"/>
  <c r="G775" i="5"/>
  <c r="G776" i="5" s="1"/>
  <c r="F775" i="5"/>
  <c r="U774" i="5"/>
  <c r="T774" i="5"/>
  <c r="R774" i="5"/>
  <c r="U773" i="5"/>
  <c r="T773" i="5"/>
  <c r="R773" i="5"/>
  <c r="Q770" i="5"/>
  <c r="O770" i="5"/>
  <c r="J769" i="5"/>
  <c r="J770" i="5" s="1"/>
  <c r="I769" i="5"/>
  <c r="I770" i="5" s="1"/>
  <c r="H769" i="5"/>
  <c r="H770" i="5" s="1"/>
  <c r="G769" i="5"/>
  <c r="G770" i="5" s="1"/>
  <c r="F769" i="5"/>
  <c r="F770" i="5" s="1"/>
  <c r="T768" i="5"/>
  <c r="T767" i="5"/>
  <c r="M767" i="5" s="1"/>
  <c r="Q763" i="5"/>
  <c r="Q764" i="5" s="1"/>
  <c r="P763" i="5"/>
  <c r="P764" i="5" s="1"/>
  <c r="O763" i="5"/>
  <c r="O764" i="5" s="1"/>
  <c r="N763" i="5"/>
  <c r="N764" i="5" s="1"/>
  <c r="M763" i="5"/>
  <c r="M764" i="5" s="1"/>
  <c r="L763" i="5"/>
  <c r="L764" i="5" s="1"/>
  <c r="K763" i="5"/>
  <c r="J763" i="5"/>
  <c r="J764" i="5" s="1"/>
  <c r="I763" i="5"/>
  <c r="I764" i="5" s="1"/>
  <c r="H763" i="5"/>
  <c r="H764" i="5" s="1"/>
  <c r="G763" i="5"/>
  <c r="G764" i="5" s="1"/>
  <c r="F763" i="5"/>
  <c r="F764" i="5" s="1"/>
  <c r="U762" i="5"/>
  <c r="T762" i="5"/>
  <c r="R762" i="5"/>
  <c r="U761" i="5"/>
  <c r="T761" i="5"/>
  <c r="R761" i="5"/>
  <c r="Q758" i="5"/>
  <c r="P758" i="5"/>
  <c r="O758" i="5"/>
  <c r="N758" i="5"/>
  <c r="M758" i="5"/>
  <c r="L758" i="5"/>
  <c r="K758" i="5"/>
  <c r="J758" i="5"/>
  <c r="I758" i="5"/>
  <c r="H758" i="5"/>
  <c r="G758" i="5"/>
  <c r="F758" i="5"/>
  <c r="U757" i="5"/>
  <c r="T757" i="5"/>
  <c r="R757" i="5"/>
  <c r="U756" i="5"/>
  <c r="T756" i="5"/>
  <c r="R756" i="5"/>
  <c r="U755" i="5"/>
  <c r="T755" i="5"/>
  <c r="R755" i="5"/>
  <c r="Q752" i="5"/>
  <c r="O752" i="5"/>
  <c r="J752" i="5"/>
  <c r="I752" i="5"/>
  <c r="H752" i="5"/>
  <c r="G752" i="5"/>
  <c r="F752" i="5"/>
  <c r="T751" i="5"/>
  <c r="T750" i="5"/>
  <c r="T749" i="5"/>
  <c r="Q746" i="5"/>
  <c r="O746" i="5"/>
  <c r="J745" i="5"/>
  <c r="J746" i="5" s="1"/>
  <c r="I745" i="5"/>
  <c r="I746" i="5" s="1"/>
  <c r="H745" i="5"/>
  <c r="H746" i="5" s="1"/>
  <c r="G745" i="5"/>
  <c r="G746" i="5" s="1"/>
  <c r="F745" i="5"/>
  <c r="T744" i="5"/>
  <c r="K744" i="5" s="1"/>
  <c r="T743" i="5"/>
  <c r="Q734" i="5"/>
  <c r="O734" i="5"/>
  <c r="J733" i="5"/>
  <c r="J734" i="5" s="1"/>
  <c r="I733" i="5"/>
  <c r="I734" i="5" s="1"/>
  <c r="H733" i="5"/>
  <c r="H734" i="5" s="1"/>
  <c r="G733" i="5"/>
  <c r="G734" i="5" s="1"/>
  <c r="F733" i="5"/>
  <c r="F734" i="5" s="1"/>
  <c r="T732" i="5"/>
  <c r="M732" i="5" s="1"/>
  <c r="T731" i="5"/>
  <c r="M731" i="5" s="1"/>
  <c r="Q728" i="5"/>
  <c r="J727" i="5"/>
  <c r="J728" i="5" s="1"/>
  <c r="I727" i="5"/>
  <c r="I728" i="5" s="1"/>
  <c r="H727" i="5"/>
  <c r="H728" i="5" s="1"/>
  <c r="G727" i="5"/>
  <c r="G728" i="5" s="1"/>
  <c r="F727" i="5"/>
  <c r="T726" i="5"/>
  <c r="T725" i="5"/>
  <c r="Q722" i="5"/>
  <c r="O722" i="5"/>
  <c r="J721" i="5"/>
  <c r="J722" i="5" s="1"/>
  <c r="I721" i="5"/>
  <c r="I722" i="5" s="1"/>
  <c r="H721" i="5"/>
  <c r="H722" i="5" s="1"/>
  <c r="G721" i="5"/>
  <c r="G722" i="5" s="1"/>
  <c r="F721" i="5"/>
  <c r="T720" i="5"/>
  <c r="T719" i="5"/>
  <c r="Q716" i="5"/>
  <c r="O716" i="5"/>
  <c r="J715" i="5"/>
  <c r="J716" i="5" s="1"/>
  <c r="I715" i="5"/>
  <c r="I716" i="5" s="1"/>
  <c r="H715" i="5"/>
  <c r="H716" i="5" s="1"/>
  <c r="G715" i="5"/>
  <c r="G716" i="5" s="1"/>
  <c r="F715" i="5"/>
  <c r="T714" i="5"/>
  <c r="K714" i="5" s="1"/>
  <c r="T713" i="5"/>
  <c r="L713" i="5" s="1"/>
  <c r="Q710" i="5"/>
  <c r="O710" i="5"/>
  <c r="J709" i="5"/>
  <c r="J710" i="5" s="1"/>
  <c r="I709" i="5"/>
  <c r="I710" i="5" s="1"/>
  <c r="H709" i="5"/>
  <c r="H710" i="5" s="1"/>
  <c r="G709" i="5"/>
  <c r="G710" i="5" s="1"/>
  <c r="F709" i="5"/>
  <c r="T708" i="5"/>
  <c r="M708" i="5" s="1"/>
  <c r="L708" i="5"/>
  <c r="T707" i="5"/>
  <c r="Q704" i="5"/>
  <c r="P703" i="5"/>
  <c r="P704" i="5" s="1"/>
  <c r="O703" i="5"/>
  <c r="O704" i="5" s="1"/>
  <c r="N703" i="5"/>
  <c r="N704" i="5" s="1"/>
  <c r="M703" i="5"/>
  <c r="M704" i="5" s="1"/>
  <c r="L703" i="5"/>
  <c r="L704" i="5" s="1"/>
  <c r="K703" i="5"/>
  <c r="J703" i="5"/>
  <c r="J704" i="5" s="1"/>
  <c r="I703" i="5"/>
  <c r="I704" i="5" s="1"/>
  <c r="H703" i="5"/>
  <c r="H704" i="5" s="1"/>
  <c r="G703" i="5"/>
  <c r="G704" i="5" s="1"/>
  <c r="F703" i="5"/>
  <c r="F704" i="5" s="1"/>
  <c r="U702" i="5"/>
  <c r="T702" i="5"/>
  <c r="R702" i="5"/>
  <c r="U701" i="5"/>
  <c r="T701" i="5"/>
  <c r="R701" i="5"/>
  <c r="Q697" i="5"/>
  <c r="Q698" i="5" s="1"/>
  <c r="P697" i="5"/>
  <c r="P698" i="5" s="1"/>
  <c r="O697" i="5"/>
  <c r="O698" i="5" s="1"/>
  <c r="N697" i="5"/>
  <c r="N698" i="5" s="1"/>
  <c r="M697" i="5"/>
  <c r="M698" i="5" s="1"/>
  <c r="L697" i="5"/>
  <c r="L698" i="5" s="1"/>
  <c r="K697" i="5"/>
  <c r="J697" i="5"/>
  <c r="I697" i="5"/>
  <c r="I698" i="5" s="1"/>
  <c r="H697" i="5"/>
  <c r="H698" i="5" s="1"/>
  <c r="G697" i="5"/>
  <c r="G698" i="5" s="1"/>
  <c r="F697" i="5"/>
  <c r="F698" i="5" s="1"/>
  <c r="U696" i="5"/>
  <c r="T696" i="5"/>
  <c r="R696" i="5"/>
  <c r="U695" i="5"/>
  <c r="T695" i="5"/>
  <c r="R695" i="5"/>
  <c r="Q692" i="5"/>
  <c r="O692" i="5"/>
  <c r="J691" i="5"/>
  <c r="J692" i="5" s="1"/>
  <c r="I691" i="5"/>
  <c r="I692" i="5" s="1"/>
  <c r="H691" i="5"/>
  <c r="G691" i="5"/>
  <c r="G692" i="5" s="1"/>
  <c r="F691" i="5"/>
  <c r="F692" i="5" s="1"/>
  <c r="T690" i="5"/>
  <c r="L690" i="5" s="1"/>
  <c r="T689" i="5"/>
  <c r="M689" i="5"/>
  <c r="Q686" i="5"/>
  <c r="O686" i="5"/>
  <c r="J686" i="5"/>
  <c r="I686" i="5"/>
  <c r="H686" i="5"/>
  <c r="G686" i="5"/>
  <c r="F686" i="5"/>
  <c r="T685" i="5"/>
  <c r="K685" i="5"/>
  <c r="T684" i="5"/>
  <c r="T683" i="5"/>
  <c r="N686" i="5"/>
  <c r="M683" i="5"/>
  <c r="L683" i="5"/>
  <c r="K683" i="5"/>
  <c r="Q680" i="5"/>
  <c r="O680" i="5"/>
  <c r="J679" i="5"/>
  <c r="J680" i="5" s="1"/>
  <c r="I679" i="5"/>
  <c r="I680" i="5" s="1"/>
  <c r="H679" i="5"/>
  <c r="H680" i="5" s="1"/>
  <c r="G679" i="5"/>
  <c r="G680" i="5" s="1"/>
  <c r="F679" i="5"/>
  <c r="T678" i="5"/>
  <c r="T677" i="5"/>
  <c r="M677" i="5"/>
  <c r="L677" i="5"/>
  <c r="Q674" i="5"/>
  <c r="O674" i="5"/>
  <c r="J673" i="5"/>
  <c r="J674" i="5" s="1"/>
  <c r="I673" i="5"/>
  <c r="I674" i="5" s="1"/>
  <c r="H673" i="5"/>
  <c r="H674" i="5" s="1"/>
  <c r="G673" i="5"/>
  <c r="G674" i="5" s="1"/>
  <c r="F673" i="5"/>
  <c r="T672" i="5"/>
  <c r="T671" i="5"/>
  <c r="Q668" i="5"/>
  <c r="O668" i="5"/>
  <c r="J667" i="5"/>
  <c r="J668" i="5" s="1"/>
  <c r="I667" i="5"/>
  <c r="I668" i="5" s="1"/>
  <c r="H667" i="5"/>
  <c r="H668" i="5" s="1"/>
  <c r="G667" i="5"/>
  <c r="G668" i="5" s="1"/>
  <c r="F667" i="5"/>
  <c r="F668" i="5" s="1"/>
  <c r="T666" i="5"/>
  <c r="T665" i="5"/>
  <c r="Q662" i="5"/>
  <c r="O662" i="5"/>
  <c r="J661" i="5"/>
  <c r="J662" i="5" s="1"/>
  <c r="I661" i="5"/>
  <c r="I662" i="5" s="1"/>
  <c r="H661" i="5"/>
  <c r="H662" i="5" s="1"/>
  <c r="G661" i="5"/>
  <c r="G662" i="5" s="1"/>
  <c r="F661" i="5"/>
  <c r="T660" i="5"/>
  <c r="M660" i="5" s="1"/>
  <c r="T659" i="5"/>
  <c r="Q656" i="5"/>
  <c r="O656" i="5"/>
  <c r="J655" i="5"/>
  <c r="J656" i="5" s="1"/>
  <c r="I655" i="5"/>
  <c r="I656" i="5" s="1"/>
  <c r="H655" i="5"/>
  <c r="H656" i="5" s="1"/>
  <c r="G655" i="5"/>
  <c r="G656" i="5" s="1"/>
  <c r="F655" i="5"/>
  <c r="T654" i="5"/>
  <c r="T653" i="5"/>
  <c r="K653" i="5"/>
  <c r="Q650" i="5"/>
  <c r="O650" i="5"/>
  <c r="J649" i="5"/>
  <c r="J650" i="5" s="1"/>
  <c r="I649" i="5"/>
  <c r="I650" i="5" s="1"/>
  <c r="H649" i="5"/>
  <c r="H650" i="5" s="1"/>
  <c r="G649" i="5"/>
  <c r="G650" i="5" s="1"/>
  <c r="F649" i="5"/>
  <c r="F650" i="5" s="1"/>
  <c r="T648" i="5"/>
  <c r="T647" i="5"/>
  <c r="Q643" i="5"/>
  <c r="Q644" i="5" s="1"/>
  <c r="P643" i="5"/>
  <c r="O643" i="5"/>
  <c r="O644" i="5" s="1"/>
  <c r="N643" i="5"/>
  <c r="N644" i="5" s="1"/>
  <c r="M643" i="5"/>
  <c r="M644" i="5" s="1"/>
  <c r="L643" i="5"/>
  <c r="L644" i="5" s="1"/>
  <c r="K643" i="5"/>
  <c r="K644" i="5" s="1"/>
  <c r="J643" i="5"/>
  <c r="J644" i="5" s="1"/>
  <c r="I643" i="5"/>
  <c r="I644" i="5" s="1"/>
  <c r="H643" i="5"/>
  <c r="H644" i="5" s="1"/>
  <c r="G643" i="5"/>
  <c r="G644" i="5" s="1"/>
  <c r="F643" i="5"/>
  <c r="U642" i="5"/>
  <c r="T642" i="5"/>
  <c r="R642" i="5"/>
  <c r="U641" i="5"/>
  <c r="T641" i="5"/>
  <c r="R641" i="5"/>
  <c r="Q638" i="5"/>
  <c r="O638" i="5"/>
  <c r="J637" i="5"/>
  <c r="J638" i="5" s="1"/>
  <c r="I637" i="5"/>
  <c r="I638" i="5" s="1"/>
  <c r="H637" i="5"/>
  <c r="H638" i="5" s="1"/>
  <c r="G637" i="5"/>
  <c r="G638" i="5" s="1"/>
  <c r="F637" i="5"/>
  <c r="F638" i="5" s="1"/>
  <c r="T636" i="5"/>
  <c r="T635" i="5"/>
  <c r="Q631" i="5"/>
  <c r="Q632" i="5" s="1"/>
  <c r="P631" i="5"/>
  <c r="P632" i="5" s="1"/>
  <c r="O631" i="5"/>
  <c r="O632" i="5" s="1"/>
  <c r="N631" i="5"/>
  <c r="N632" i="5" s="1"/>
  <c r="M631" i="5"/>
  <c r="M632" i="5" s="1"/>
  <c r="L631" i="5"/>
  <c r="L632" i="5" s="1"/>
  <c r="K631" i="5"/>
  <c r="J631" i="5"/>
  <c r="J632" i="5" s="1"/>
  <c r="I631" i="5"/>
  <c r="I632" i="5" s="1"/>
  <c r="H631" i="5"/>
  <c r="G631" i="5"/>
  <c r="G632" i="5" s="1"/>
  <c r="F631" i="5"/>
  <c r="U630" i="5"/>
  <c r="T630" i="5"/>
  <c r="R630" i="5"/>
  <c r="U629" i="5"/>
  <c r="T629" i="5"/>
  <c r="R629" i="5"/>
  <c r="Q626" i="5"/>
  <c r="J625" i="5"/>
  <c r="J626" i="5" s="1"/>
  <c r="I625" i="5"/>
  <c r="I626" i="5" s="1"/>
  <c r="H625" i="5"/>
  <c r="H626" i="5" s="1"/>
  <c r="G625" i="5"/>
  <c r="G626" i="5" s="1"/>
  <c r="F625" i="5"/>
  <c r="T624" i="5"/>
  <c r="T623" i="5"/>
  <c r="Q620" i="5"/>
  <c r="O620" i="5"/>
  <c r="J619" i="5"/>
  <c r="J620" i="5" s="1"/>
  <c r="I619" i="5"/>
  <c r="I620" i="5" s="1"/>
  <c r="H619" i="5"/>
  <c r="H620" i="5" s="1"/>
  <c r="G619" i="5"/>
  <c r="G620" i="5" s="1"/>
  <c r="F619" i="5"/>
  <c r="F620" i="5" s="1"/>
  <c r="T618" i="5"/>
  <c r="K618" i="5"/>
  <c r="T617" i="5"/>
  <c r="M617" i="5" s="1"/>
  <c r="Q614" i="5"/>
  <c r="O614" i="5"/>
  <c r="J613" i="5"/>
  <c r="J614" i="5" s="1"/>
  <c r="I613" i="5"/>
  <c r="I614" i="5" s="1"/>
  <c r="H613" i="5"/>
  <c r="H614" i="5" s="1"/>
  <c r="G613" i="5"/>
  <c r="G614" i="5" s="1"/>
  <c r="F613" i="5"/>
  <c r="T612" i="5"/>
  <c r="L612" i="5" s="1"/>
  <c r="T611" i="5"/>
  <c r="M611" i="5"/>
  <c r="Q607" i="5"/>
  <c r="Q608" i="5" s="1"/>
  <c r="P607" i="5"/>
  <c r="P608" i="5" s="1"/>
  <c r="O607" i="5"/>
  <c r="O608" i="5" s="1"/>
  <c r="N607" i="5"/>
  <c r="N608" i="5" s="1"/>
  <c r="M607" i="5"/>
  <c r="M608" i="5" s="1"/>
  <c r="L607" i="5"/>
  <c r="L608" i="5" s="1"/>
  <c r="K607" i="5"/>
  <c r="J607" i="5"/>
  <c r="J608" i="5" s="1"/>
  <c r="I607" i="5"/>
  <c r="I608" i="5" s="1"/>
  <c r="H607" i="5"/>
  <c r="H608" i="5" s="1"/>
  <c r="G607" i="5"/>
  <c r="G608" i="5" s="1"/>
  <c r="F607" i="5"/>
  <c r="U606" i="5"/>
  <c r="T606" i="5"/>
  <c r="R606" i="5"/>
  <c r="U605" i="5"/>
  <c r="T605" i="5"/>
  <c r="R605" i="5"/>
  <c r="O602" i="5"/>
  <c r="Q1033" i="5"/>
  <c r="M601" i="5"/>
  <c r="M602" i="5" s="1"/>
  <c r="L601" i="5"/>
  <c r="L602" i="5" s="1"/>
  <c r="K601" i="5"/>
  <c r="J601" i="5"/>
  <c r="J602" i="5" s="1"/>
  <c r="I601" i="5"/>
  <c r="I602" i="5" s="1"/>
  <c r="H601" i="5"/>
  <c r="H602" i="5" s="1"/>
  <c r="G601" i="5"/>
  <c r="G602" i="5" s="1"/>
  <c r="F601" i="5"/>
  <c r="F602" i="5" s="1"/>
  <c r="T600" i="5"/>
  <c r="T599" i="5"/>
  <c r="N599" i="5" s="1"/>
  <c r="Q596" i="5"/>
  <c r="O596" i="5"/>
  <c r="J595" i="5"/>
  <c r="J596" i="5" s="1"/>
  <c r="I595" i="5"/>
  <c r="I596" i="5" s="1"/>
  <c r="H595" i="5"/>
  <c r="H596" i="5" s="1"/>
  <c r="G595" i="5"/>
  <c r="G596" i="5" s="1"/>
  <c r="F595" i="5"/>
  <c r="F596" i="5" s="1"/>
  <c r="T594" i="5"/>
  <c r="T593" i="5"/>
  <c r="Q590" i="5"/>
  <c r="O590" i="5"/>
  <c r="J590" i="5"/>
  <c r="I590" i="5"/>
  <c r="H590" i="5"/>
  <c r="G590" i="5"/>
  <c r="F590" i="5"/>
  <c r="T589" i="5"/>
  <c r="T588" i="5"/>
  <c r="M588" i="5"/>
  <c r="L588" i="5"/>
  <c r="K588" i="5"/>
  <c r="T587" i="5"/>
  <c r="Q583" i="5"/>
  <c r="Q584" i="5" s="1"/>
  <c r="P583" i="5"/>
  <c r="P584" i="5" s="1"/>
  <c r="O583" i="5"/>
  <c r="N583" i="5"/>
  <c r="N584" i="5" s="1"/>
  <c r="M583" i="5"/>
  <c r="M584" i="5" s="1"/>
  <c r="L583" i="5"/>
  <c r="L584" i="5" s="1"/>
  <c r="K583" i="5"/>
  <c r="J583" i="5"/>
  <c r="J584" i="5" s="1"/>
  <c r="I583" i="5"/>
  <c r="I584" i="5" s="1"/>
  <c r="H583" i="5"/>
  <c r="H584" i="5" s="1"/>
  <c r="G583" i="5"/>
  <c r="G584" i="5" s="1"/>
  <c r="F583" i="5"/>
  <c r="U582" i="5"/>
  <c r="T582" i="5"/>
  <c r="R582" i="5"/>
  <c r="T581" i="5"/>
  <c r="K581" i="5" s="1"/>
  <c r="Q578" i="5"/>
  <c r="J577" i="5"/>
  <c r="J578" i="5" s="1"/>
  <c r="I577" i="5"/>
  <c r="I578" i="5" s="1"/>
  <c r="H577" i="5"/>
  <c r="H578" i="5" s="1"/>
  <c r="G577" i="5"/>
  <c r="F577" i="5"/>
  <c r="F578" i="5" s="1"/>
  <c r="T576" i="5"/>
  <c r="T575" i="5"/>
  <c r="Q572" i="5"/>
  <c r="O572" i="5"/>
  <c r="J572" i="5"/>
  <c r="I572" i="5"/>
  <c r="H572" i="5"/>
  <c r="G572" i="5"/>
  <c r="F572" i="5"/>
  <c r="T571" i="5"/>
  <c r="M571" i="5" s="1"/>
  <c r="T570" i="5"/>
  <c r="T569" i="5"/>
  <c r="N572" i="5"/>
  <c r="Q566" i="5"/>
  <c r="N566" i="5"/>
  <c r="M565" i="5"/>
  <c r="M566" i="5" s="1"/>
  <c r="L565" i="5"/>
  <c r="L566" i="5" s="1"/>
  <c r="K565" i="5"/>
  <c r="K566" i="5" s="1"/>
  <c r="J565" i="5"/>
  <c r="J566" i="5" s="1"/>
  <c r="I565" i="5"/>
  <c r="I566" i="5" s="1"/>
  <c r="H565" i="5"/>
  <c r="H566" i="5" s="1"/>
  <c r="G565" i="5"/>
  <c r="G566" i="5" s="1"/>
  <c r="F565" i="5"/>
  <c r="U564" i="5"/>
  <c r="T564" i="5"/>
  <c r="R564" i="5"/>
  <c r="T563" i="5"/>
  <c r="R563" i="5"/>
  <c r="Q560" i="5"/>
  <c r="O560" i="5"/>
  <c r="J559" i="5"/>
  <c r="J560" i="5" s="1"/>
  <c r="I559" i="5"/>
  <c r="I560" i="5" s="1"/>
  <c r="H559" i="5"/>
  <c r="H560" i="5" s="1"/>
  <c r="G559" i="5"/>
  <c r="G560" i="5" s="1"/>
  <c r="F559" i="5"/>
  <c r="F560" i="5" s="1"/>
  <c r="T558" i="5"/>
  <c r="T557" i="5"/>
  <c r="Q553" i="5"/>
  <c r="Q554" i="5" s="1"/>
  <c r="P553" i="5"/>
  <c r="P554" i="5" s="1"/>
  <c r="O553" i="5"/>
  <c r="O554" i="5" s="1"/>
  <c r="N553" i="5"/>
  <c r="M553" i="5"/>
  <c r="L553" i="5"/>
  <c r="J553" i="5"/>
  <c r="J554" i="5" s="1"/>
  <c r="I553" i="5"/>
  <c r="I554" i="5" s="1"/>
  <c r="H553" i="5"/>
  <c r="H554" i="5" s="1"/>
  <c r="G553" i="5"/>
  <c r="G554" i="5" s="1"/>
  <c r="F553" i="5"/>
  <c r="T552" i="5"/>
  <c r="N552" i="5"/>
  <c r="M552" i="5"/>
  <c r="L552" i="5"/>
  <c r="K552" i="5"/>
  <c r="T551" i="5"/>
  <c r="N551" i="5"/>
  <c r="M551" i="5"/>
  <c r="L551" i="5"/>
  <c r="K551" i="5"/>
  <c r="Q548" i="5"/>
  <c r="O548" i="5"/>
  <c r="J547" i="5"/>
  <c r="J548" i="5" s="1"/>
  <c r="I547" i="5"/>
  <c r="I548" i="5" s="1"/>
  <c r="H547" i="5"/>
  <c r="H548" i="5" s="1"/>
  <c r="G547" i="5"/>
  <c r="F547" i="5"/>
  <c r="T546" i="5"/>
  <c r="T545" i="5"/>
  <c r="Q542" i="5"/>
  <c r="O542" i="5"/>
  <c r="J541" i="5"/>
  <c r="J542" i="5" s="1"/>
  <c r="I541" i="5"/>
  <c r="I542" i="5" s="1"/>
  <c r="H541" i="5"/>
  <c r="H542" i="5" s="1"/>
  <c r="G541" i="5"/>
  <c r="F541" i="5"/>
  <c r="F542" i="5" s="1"/>
  <c r="T540" i="5"/>
  <c r="M540" i="5" s="1"/>
  <c r="T539" i="5"/>
  <c r="M539" i="5" s="1"/>
  <c r="L539" i="5"/>
  <c r="Q530" i="5"/>
  <c r="P530" i="5"/>
  <c r="O530" i="5"/>
  <c r="N530" i="5"/>
  <c r="M530" i="5"/>
  <c r="L530" i="5"/>
  <c r="K530" i="5"/>
  <c r="J530" i="5"/>
  <c r="I530" i="5"/>
  <c r="H530" i="5"/>
  <c r="G530" i="5"/>
  <c r="F530" i="5"/>
  <c r="U529" i="5"/>
  <c r="T529" i="5"/>
  <c r="R529" i="5"/>
  <c r="U528" i="5"/>
  <c r="T528" i="5"/>
  <c r="R528" i="5"/>
  <c r="U527" i="5"/>
  <c r="T527" i="5"/>
  <c r="R527" i="5"/>
  <c r="Q524" i="5"/>
  <c r="O524" i="5"/>
  <c r="J523" i="5"/>
  <c r="J524" i="5" s="1"/>
  <c r="I523" i="5"/>
  <c r="I524" i="5" s="1"/>
  <c r="H523" i="5"/>
  <c r="G523" i="5"/>
  <c r="G524" i="5" s="1"/>
  <c r="F523" i="5"/>
  <c r="F524" i="5" s="1"/>
  <c r="T522" i="5"/>
  <c r="T521" i="5"/>
  <c r="Q518" i="5"/>
  <c r="O518" i="5"/>
  <c r="J517" i="5"/>
  <c r="J518" i="5" s="1"/>
  <c r="I517" i="5"/>
  <c r="I518" i="5" s="1"/>
  <c r="H517" i="5"/>
  <c r="H518" i="5" s="1"/>
  <c r="G517" i="5"/>
  <c r="G518" i="5" s="1"/>
  <c r="F517" i="5"/>
  <c r="T516" i="5"/>
  <c r="M516" i="5" s="1"/>
  <c r="T515" i="5"/>
  <c r="M515" i="5" s="1"/>
  <c r="K512" i="5"/>
  <c r="Q512" i="5"/>
  <c r="O512" i="5"/>
  <c r="N512" i="5"/>
  <c r="M511" i="5"/>
  <c r="M512" i="5" s="1"/>
  <c r="L511" i="5"/>
  <c r="L512" i="5" s="1"/>
  <c r="J511" i="5"/>
  <c r="J512" i="5" s="1"/>
  <c r="I511" i="5"/>
  <c r="I512" i="5" s="1"/>
  <c r="H511" i="5"/>
  <c r="H512" i="5" s="1"/>
  <c r="G511" i="5"/>
  <c r="G512" i="5" s="1"/>
  <c r="F511" i="5"/>
  <c r="F512" i="5" s="1"/>
  <c r="U510" i="5"/>
  <c r="T510" i="5"/>
  <c r="R510" i="5"/>
  <c r="U509" i="5"/>
  <c r="T509" i="5"/>
  <c r="R509" i="5"/>
  <c r="Q494" i="5"/>
  <c r="O494" i="5"/>
  <c r="J493" i="5"/>
  <c r="J494" i="5" s="1"/>
  <c r="I493" i="5"/>
  <c r="I494" i="5" s="1"/>
  <c r="H493" i="5"/>
  <c r="H494" i="5" s="1"/>
  <c r="G493" i="5"/>
  <c r="G494" i="5" s="1"/>
  <c r="F493" i="5"/>
  <c r="T492" i="5"/>
  <c r="T491" i="5"/>
  <c r="L491" i="5"/>
  <c r="K491" i="5"/>
  <c r="Q482" i="5"/>
  <c r="O482" i="5"/>
  <c r="J481" i="5"/>
  <c r="J482" i="5" s="1"/>
  <c r="I481" i="5"/>
  <c r="I482" i="5" s="1"/>
  <c r="H481" i="5"/>
  <c r="H482" i="5" s="1"/>
  <c r="G481" i="5"/>
  <c r="G482" i="5" s="1"/>
  <c r="F481" i="5"/>
  <c r="T480" i="5"/>
  <c r="T479" i="5"/>
  <c r="M479" i="5"/>
  <c r="Q470" i="5"/>
  <c r="O470" i="5"/>
  <c r="J469" i="5"/>
  <c r="J470" i="5" s="1"/>
  <c r="I469" i="5"/>
  <c r="I470" i="5" s="1"/>
  <c r="H469" i="5"/>
  <c r="H470" i="5" s="1"/>
  <c r="G469" i="5"/>
  <c r="G470" i="5" s="1"/>
  <c r="F469" i="5"/>
  <c r="T468" i="5"/>
  <c r="T467" i="5"/>
  <c r="Q458" i="5"/>
  <c r="O458" i="5"/>
  <c r="J457" i="5"/>
  <c r="J458" i="5" s="1"/>
  <c r="I457" i="5"/>
  <c r="I458" i="5" s="1"/>
  <c r="H457" i="5"/>
  <c r="H458" i="5" s="1"/>
  <c r="G457" i="5"/>
  <c r="G458" i="5" s="1"/>
  <c r="F457" i="5"/>
  <c r="T456" i="5"/>
  <c r="T455" i="5"/>
  <c r="Q452" i="5"/>
  <c r="P452" i="5"/>
  <c r="O452" i="5"/>
  <c r="N452" i="5"/>
  <c r="M451" i="5"/>
  <c r="M452" i="5" s="1"/>
  <c r="L451" i="5"/>
  <c r="K451" i="5"/>
  <c r="K452" i="5" s="1"/>
  <c r="J451" i="5"/>
  <c r="J452" i="5" s="1"/>
  <c r="I451" i="5"/>
  <c r="I452" i="5" s="1"/>
  <c r="H451" i="5"/>
  <c r="H452" i="5" s="1"/>
  <c r="G451" i="5"/>
  <c r="G452" i="5" s="1"/>
  <c r="F451" i="5"/>
  <c r="U450" i="5"/>
  <c r="T450" i="5"/>
  <c r="R450" i="5"/>
  <c r="U449" i="5"/>
  <c r="T449" i="5"/>
  <c r="R449" i="5"/>
  <c r="Q446" i="5"/>
  <c r="N446" i="5"/>
  <c r="J446" i="5"/>
  <c r="I446" i="5"/>
  <c r="H446" i="5"/>
  <c r="G446" i="5"/>
  <c r="F446" i="5"/>
  <c r="T445" i="5"/>
  <c r="M445" i="5" s="1"/>
  <c r="T444" i="5"/>
  <c r="T443" i="5"/>
  <c r="Q440" i="5"/>
  <c r="O440" i="5"/>
  <c r="N440" i="5"/>
  <c r="J440" i="5"/>
  <c r="I440" i="5"/>
  <c r="H440" i="5"/>
  <c r="G440" i="5"/>
  <c r="F440" i="5"/>
  <c r="T439" i="5"/>
  <c r="T438" i="5"/>
  <c r="M438" i="5" s="1"/>
  <c r="T437" i="5"/>
  <c r="M437" i="5" s="1"/>
  <c r="Q434" i="5"/>
  <c r="O434" i="5"/>
  <c r="J434" i="5"/>
  <c r="I434" i="5"/>
  <c r="H434" i="5"/>
  <c r="G434" i="5"/>
  <c r="F434" i="5"/>
  <c r="T433" i="5"/>
  <c r="M433" i="5" s="1"/>
  <c r="T432" i="5"/>
  <c r="T431" i="5"/>
  <c r="N434" i="5"/>
  <c r="Q428" i="5"/>
  <c r="O428" i="5"/>
  <c r="J427" i="5"/>
  <c r="J428" i="5" s="1"/>
  <c r="I427" i="5"/>
  <c r="I428" i="5" s="1"/>
  <c r="H427" i="5"/>
  <c r="H428" i="5" s="1"/>
  <c r="G427" i="5"/>
  <c r="G428" i="5" s="1"/>
  <c r="F427" i="5"/>
  <c r="T426" i="5"/>
  <c r="M426" i="5"/>
  <c r="L426" i="5"/>
  <c r="T425" i="5"/>
  <c r="Q421" i="5"/>
  <c r="Q422" i="5" s="1"/>
  <c r="P421" i="5"/>
  <c r="P422" i="5" s="1"/>
  <c r="O421" i="5"/>
  <c r="O422" i="5" s="1"/>
  <c r="N421" i="5"/>
  <c r="N422" i="5" s="1"/>
  <c r="M421" i="5"/>
  <c r="M422" i="5" s="1"/>
  <c r="L421" i="5"/>
  <c r="L422" i="5" s="1"/>
  <c r="K421" i="5"/>
  <c r="J421" i="5"/>
  <c r="J422" i="5" s="1"/>
  <c r="I421" i="5"/>
  <c r="I422" i="5" s="1"/>
  <c r="H421" i="5"/>
  <c r="H422" i="5" s="1"/>
  <c r="G421" i="5"/>
  <c r="G422" i="5" s="1"/>
  <c r="F421" i="5"/>
  <c r="F422" i="5" s="1"/>
  <c r="U420" i="5"/>
  <c r="T420" i="5"/>
  <c r="R420" i="5"/>
  <c r="U419" i="5"/>
  <c r="T419" i="5"/>
  <c r="R419" i="5"/>
  <c r="Q416" i="5"/>
  <c r="J415" i="5"/>
  <c r="J416" i="5" s="1"/>
  <c r="I415" i="5"/>
  <c r="I416" i="5" s="1"/>
  <c r="H415" i="5"/>
  <c r="H416" i="5" s="1"/>
  <c r="G415" i="5"/>
  <c r="G416" i="5" s="1"/>
  <c r="F415" i="5"/>
  <c r="F416" i="5" s="1"/>
  <c r="T414" i="5"/>
  <c r="O414" i="5" s="1"/>
  <c r="K414" i="5"/>
  <c r="T413" i="5"/>
  <c r="O413" i="5" s="1"/>
  <c r="Q380" i="5"/>
  <c r="J380" i="5"/>
  <c r="I380" i="5"/>
  <c r="H380" i="5"/>
  <c r="G380" i="5"/>
  <c r="F380" i="5"/>
  <c r="T379" i="5"/>
  <c r="O379" i="5" s="1"/>
  <c r="T378" i="5"/>
  <c r="O378" i="5" s="1"/>
  <c r="O380" i="5" s="1"/>
  <c r="T377" i="5"/>
  <c r="O377" i="5" s="1"/>
  <c r="Q373" i="5"/>
  <c r="Q374" i="5" s="1"/>
  <c r="P373" i="5"/>
  <c r="P374" i="5" s="1"/>
  <c r="O374" i="5"/>
  <c r="N373" i="5"/>
  <c r="N374" i="5" s="1"/>
  <c r="M373" i="5"/>
  <c r="M374" i="5" s="1"/>
  <c r="L373" i="5"/>
  <c r="L374" i="5" s="1"/>
  <c r="K373" i="5"/>
  <c r="J373" i="5"/>
  <c r="J374" i="5" s="1"/>
  <c r="I373" i="5"/>
  <c r="I374" i="5" s="1"/>
  <c r="H373" i="5"/>
  <c r="H374" i="5" s="1"/>
  <c r="G373" i="5"/>
  <c r="G374" i="5" s="1"/>
  <c r="F373" i="5"/>
  <c r="F374" i="5" s="1"/>
  <c r="U372" i="5"/>
  <c r="T372" i="5"/>
  <c r="R372" i="5"/>
  <c r="U371" i="5"/>
  <c r="T371" i="5"/>
  <c r="R371" i="5"/>
  <c r="Q368" i="5"/>
  <c r="J368" i="5"/>
  <c r="I368" i="5"/>
  <c r="H368" i="5"/>
  <c r="G368" i="5"/>
  <c r="F368" i="5"/>
  <c r="T367" i="5"/>
  <c r="L367" i="5" s="1"/>
  <c r="M367" i="5"/>
  <c r="T366" i="5"/>
  <c r="M366" i="5" s="1"/>
  <c r="T365" i="5"/>
  <c r="L365" i="5" s="1"/>
  <c r="N368" i="5"/>
  <c r="M365" i="5"/>
  <c r="Q356" i="5"/>
  <c r="J355" i="5"/>
  <c r="J356" i="5" s="1"/>
  <c r="I355" i="5"/>
  <c r="I356" i="5" s="1"/>
  <c r="H355" i="5"/>
  <c r="H356" i="5" s="1"/>
  <c r="G355" i="5"/>
  <c r="G356" i="5" s="1"/>
  <c r="F355" i="5"/>
  <c r="T354" i="5"/>
  <c r="O354" i="5" s="1"/>
  <c r="T353" i="5"/>
  <c r="O353" i="5" s="1"/>
  <c r="Q332" i="5"/>
  <c r="J331" i="5"/>
  <c r="J332" i="5" s="1"/>
  <c r="I331" i="5"/>
  <c r="I332" i="5" s="1"/>
  <c r="H331" i="5"/>
  <c r="H332" i="5" s="1"/>
  <c r="G331" i="5"/>
  <c r="G332" i="5" s="1"/>
  <c r="F331" i="5"/>
  <c r="F332" i="5" s="1"/>
  <c r="T330" i="5"/>
  <c r="O330" i="5" s="1"/>
  <c r="T329" i="5"/>
  <c r="Q326" i="5"/>
  <c r="J325" i="5"/>
  <c r="J326" i="5" s="1"/>
  <c r="I325" i="5"/>
  <c r="I326" i="5" s="1"/>
  <c r="H325" i="5"/>
  <c r="H326" i="5" s="1"/>
  <c r="G325" i="5"/>
  <c r="G326" i="5" s="1"/>
  <c r="F325" i="5"/>
  <c r="T324" i="5"/>
  <c r="O324" i="5" s="1"/>
  <c r="T323" i="5"/>
  <c r="O323" i="5" s="1"/>
  <c r="Q314" i="5"/>
  <c r="J313" i="5"/>
  <c r="J314" i="5" s="1"/>
  <c r="I313" i="5"/>
  <c r="I314" i="5" s="1"/>
  <c r="H313" i="5"/>
  <c r="H314" i="5" s="1"/>
  <c r="G313" i="5"/>
  <c r="G314" i="5" s="1"/>
  <c r="F313" i="5"/>
  <c r="F314" i="5" s="1"/>
  <c r="T312" i="5"/>
  <c r="O312" i="5" s="1"/>
  <c r="T311" i="5"/>
  <c r="O311" i="5" s="1"/>
  <c r="K311" i="5"/>
  <c r="Q308" i="5"/>
  <c r="P308" i="5"/>
  <c r="O308" i="5"/>
  <c r="N308" i="5"/>
  <c r="M308" i="5"/>
  <c r="L308" i="5"/>
  <c r="K308" i="5"/>
  <c r="J308" i="5"/>
  <c r="I308" i="5"/>
  <c r="H308" i="5"/>
  <c r="G308" i="5"/>
  <c r="F308" i="5"/>
  <c r="R307" i="5"/>
  <c r="R306" i="5"/>
  <c r="R305" i="5"/>
  <c r="Q290" i="5"/>
  <c r="J289" i="5"/>
  <c r="J290" i="5" s="1"/>
  <c r="I289" i="5"/>
  <c r="I290" i="5" s="1"/>
  <c r="H289" i="5"/>
  <c r="H290" i="5" s="1"/>
  <c r="G289" i="5"/>
  <c r="G290" i="5" s="1"/>
  <c r="F289" i="5"/>
  <c r="T288" i="5"/>
  <c r="T287" i="5"/>
  <c r="O287" i="5" s="1"/>
  <c r="Q284" i="5"/>
  <c r="J283" i="5"/>
  <c r="J284" i="5" s="1"/>
  <c r="I283" i="5"/>
  <c r="I284" i="5" s="1"/>
  <c r="H283" i="5"/>
  <c r="H284" i="5" s="1"/>
  <c r="G283" i="5"/>
  <c r="G284" i="5" s="1"/>
  <c r="F283" i="5"/>
  <c r="F284" i="5" s="1"/>
  <c r="T282" i="5"/>
  <c r="K282" i="5" s="1"/>
  <c r="M282" i="5"/>
  <c r="T281" i="5"/>
  <c r="O281" i="5" s="1"/>
  <c r="Q260" i="5"/>
  <c r="J259" i="5"/>
  <c r="J260" i="5" s="1"/>
  <c r="I259" i="5"/>
  <c r="I260" i="5" s="1"/>
  <c r="H259" i="5"/>
  <c r="H260" i="5" s="1"/>
  <c r="G259" i="5"/>
  <c r="G260" i="5" s="1"/>
  <c r="F259" i="5"/>
  <c r="F260" i="5" s="1"/>
  <c r="T258" i="5"/>
  <c r="O258" i="5" s="1"/>
  <c r="T257" i="5"/>
  <c r="O257" i="5" s="1"/>
  <c r="Q254" i="5"/>
  <c r="J253" i="5"/>
  <c r="J254" i="5" s="1"/>
  <c r="I253" i="5"/>
  <c r="I254" i="5" s="1"/>
  <c r="H253" i="5"/>
  <c r="H254" i="5" s="1"/>
  <c r="G253" i="5"/>
  <c r="G254" i="5" s="1"/>
  <c r="F253" i="5"/>
  <c r="T252" i="5"/>
  <c r="T251" i="5"/>
  <c r="Q248" i="5"/>
  <c r="J247" i="5"/>
  <c r="J248" i="5" s="1"/>
  <c r="I247" i="5"/>
  <c r="I248" i="5" s="1"/>
  <c r="H247" i="5"/>
  <c r="H248" i="5" s="1"/>
  <c r="G247" i="5"/>
  <c r="G248" i="5" s="1"/>
  <c r="F247" i="5"/>
  <c r="T246" i="5"/>
  <c r="L246" i="5" s="1"/>
  <c r="T245" i="5"/>
  <c r="O245" i="5" s="1"/>
  <c r="Q236" i="5"/>
  <c r="J235" i="5"/>
  <c r="J236" i="5" s="1"/>
  <c r="I235" i="5"/>
  <c r="I236" i="5" s="1"/>
  <c r="H235" i="5"/>
  <c r="H236" i="5" s="1"/>
  <c r="G235" i="5"/>
  <c r="G236" i="5" s="1"/>
  <c r="F235" i="5"/>
  <c r="F236" i="5" s="1"/>
  <c r="T234" i="5"/>
  <c r="O234" i="5" s="1"/>
  <c r="T233" i="5"/>
  <c r="Q230" i="5"/>
  <c r="J229" i="5"/>
  <c r="J230" i="5" s="1"/>
  <c r="I229" i="5"/>
  <c r="I230" i="5" s="1"/>
  <c r="H229" i="5"/>
  <c r="H230" i="5" s="1"/>
  <c r="G229" i="5"/>
  <c r="G230" i="5" s="1"/>
  <c r="F229" i="5"/>
  <c r="F230" i="5" s="1"/>
  <c r="T228" i="5"/>
  <c r="O228" i="5" s="1"/>
  <c r="T227" i="5"/>
  <c r="O227" i="5" s="1"/>
  <c r="Q224" i="5"/>
  <c r="J223" i="5"/>
  <c r="J224" i="5" s="1"/>
  <c r="I223" i="5"/>
  <c r="I224" i="5" s="1"/>
  <c r="H223" i="5"/>
  <c r="H224" i="5" s="1"/>
  <c r="G223" i="5"/>
  <c r="G224" i="5" s="1"/>
  <c r="F223" i="5"/>
  <c r="T222" i="5"/>
  <c r="M222" i="5" s="1"/>
  <c r="T221" i="5"/>
  <c r="K221" i="5" s="1"/>
  <c r="Q218" i="5"/>
  <c r="J217" i="5"/>
  <c r="J218" i="5" s="1"/>
  <c r="I217" i="5"/>
  <c r="I218" i="5" s="1"/>
  <c r="H217" i="5"/>
  <c r="G217" i="5"/>
  <c r="G218" i="5" s="1"/>
  <c r="F217" i="5"/>
  <c r="T216" i="5"/>
  <c r="K216" i="5"/>
  <c r="H215" i="5"/>
  <c r="Q206" i="5"/>
  <c r="J205" i="5"/>
  <c r="J206" i="5" s="1"/>
  <c r="I205" i="5"/>
  <c r="I206" i="5" s="1"/>
  <c r="H205" i="5"/>
  <c r="H206" i="5" s="1"/>
  <c r="G205" i="5"/>
  <c r="G206" i="5" s="1"/>
  <c r="F205" i="5"/>
  <c r="T204" i="5"/>
  <c r="O204" i="5" s="1"/>
  <c r="T203" i="5"/>
  <c r="O203" i="5" s="1"/>
  <c r="Q200" i="5"/>
  <c r="J199" i="5"/>
  <c r="J200" i="5" s="1"/>
  <c r="I199" i="5"/>
  <c r="I200" i="5" s="1"/>
  <c r="H199" i="5"/>
  <c r="H200" i="5" s="1"/>
  <c r="G199" i="5"/>
  <c r="G200" i="5" s="1"/>
  <c r="F199" i="5"/>
  <c r="T198" i="5"/>
  <c r="O198" i="5" s="1"/>
  <c r="T197" i="5"/>
  <c r="O197" i="5" s="1"/>
  <c r="Q194" i="5"/>
  <c r="J193" i="5"/>
  <c r="J194" i="5" s="1"/>
  <c r="I193" i="5"/>
  <c r="I194" i="5" s="1"/>
  <c r="H193" i="5"/>
  <c r="H194" i="5" s="1"/>
  <c r="G193" i="5"/>
  <c r="G194" i="5" s="1"/>
  <c r="F193" i="5"/>
  <c r="T192" i="5"/>
  <c r="K192" i="5" s="1"/>
  <c r="T191" i="5"/>
  <c r="O191" i="5" s="1"/>
  <c r="K191" i="5"/>
  <c r="Q188" i="5"/>
  <c r="P188" i="5"/>
  <c r="O188" i="5"/>
  <c r="N188" i="5"/>
  <c r="M188" i="5"/>
  <c r="L188" i="5"/>
  <c r="K187" i="5"/>
  <c r="U187" i="5" s="1"/>
  <c r="J187" i="5"/>
  <c r="J188" i="5" s="1"/>
  <c r="I187" i="5"/>
  <c r="I188" i="5" s="1"/>
  <c r="H187" i="5"/>
  <c r="H188" i="5" s="1"/>
  <c r="G187" i="5"/>
  <c r="G188" i="5" s="1"/>
  <c r="F187" i="5"/>
  <c r="U186" i="5"/>
  <c r="T186" i="5"/>
  <c r="R186" i="5"/>
  <c r="T185" i="5"/>
  <c r="K185" i="5"/>
  <c r="Q182" i="5"/>
  <c r="J181" i="5"/>
  <c r="J182" i="5" s="1"/>
  <c r="I181" i="5"/>
  <c r="I182" i="5" s="1"/>
  <c r="H181" i="5"/>
  <c r="H182" i="5" s="1"/>
  <c r="G181" i="5"/>
  <c r="G182" i="5" s="1"/>
  <c r="F181" i="5"/>
  <c r="F182" i="5" s="1"/>
  <c r="T180" i="5"/>
  <c r="O180" i="5" s="1"/>
  <c r="T179" i="5"/>
  <c r="O179" i="5" s="1"/>
  <c r="Q176" i="5"/>
  <c r="J175" i="5"/>
  <c r="J176" i="5" s="1"/>
  <c r="I175" i="5"/>
  <c r="I176" i="5" s="1"/>
  <c r="H175" i="5"/>
  <c r="H176" i="5" s="1"/>
  <c r="G175" i="5"/>
  <c r="G176" i="5" s="1"/>
  <c r="F175" i="5"/>
  <c r="T174" i="5"/>
  <c r="K174" i="5"/>
  <c r="T173" i="5"/>
  <c r="Q164" i="5"/>
  <c r="J163" i="5"/>
  <c r="J164" i="5" s="1"/>
  <c r="I163" i="5"/>
  <c r="I164" i="5" s="1"/>
  <c r="H163" i="5"/>
  <c r="H164" i="5" s="1"/>
  <c r="G163" i="5"/>
  <c r="G164" i="5" s="1"/>
  <c r="F163" i="5"/>
  <c r="F164" i="5" s="1"/>
  <c r="T162" i="5"/>
  <c r="O162" i="5" s="1"/>
  <c r="T161" i="5"/>
  <c r="O161" i="5" s="1"/>
  <c r="K161" i="5"/>
  <c r="Q158" i="5"/>
  <c r="J157" i="5"/>
  <c r="J158" i="5" s="1"/>
  <c r="I157" i="5"/>
  <c r="I158" i="5" s="1"/>
  <c r="H157" i="5"/>
  <c r="H158" i="5" s="1"/>
  <c r="G157" i="5"/>
  <c r="G158" i="5" s="1"/>
  <c r="F157" i="5"/>
  <c r="T156" i="5"/>
  <c r="O156" i="5" s="1"/>
  <c r="T155" i="5"/>
  <c r="K155" i="5" s="1"/>
  <c r="Q152" i="5"/>
  <c r="J151" i="5"/>
  <c r="J152" i="5" s="1"/>
  <c r="I151" i="5"/>
  <c r="I152" i="5" s="1"/>
  <c r="H151" i="5"/>
  <c r="H152" i="5" s="1"/>
  <c r="G151" i="5"/>
  <c r="G152" i="5" s="1"/>
  <c r="F151" i="5"/>
  <c r="T150" i="5"/>
  <c r="O150" i="5" s="1"/>
  <c r="T149" i="5"/>
  <c r="O149" i="5" s="1"/>
  <c r="J139" i="5"/>
  <c r="I139" i="5"/>
  <c r="H139" i="5"/>
  <c r="G139" i="5"/>
  <c r="F139" i="5"/>
  <c r="T138" i="5"/>
  <c r="O138" i="5" s="1"/>
  <c r="M138" i="5"/>
  <c r="G137" i="5"/>
  <c r="G1024" i="5" s="1"/>
  <c r="Q134" i="5"/>
  <c r="J133" i="5"/>
  <c r="J134" i="5" s="1"/>
  <c r="I133" i="5"/>
  <c r="I134" i="5" s="1"/>
  <c r="H133" i="5"/>
  <c r="H134" i="5" s="1"/>
  <c r="G133" i="5"/>
  <c r="G134" i="5" s="1"/>
  <c r="F133" i="5"/>
  <c r="T132" i="5"/>
  <c r="M132" i="5" s="1"/>
  <c r="N132" i="5"/>
  <c r="T131" i="5"/>
  <c r="Q128" i="5"/>
  <c r="J127" i="5"/>
  <c r="J128" i="5" s="1"/>
  <c r="I127" i="5"/>
  <c r="I128" i="5" s="1"/>
  <c r="H127" i="5"/>
  <c r="H128" i="5" s="1"/>
  <c r="G127" i="5"/>
  <c r="G128" i="5" s="1"/>
  <c r="F127" i="5"/>
  <c r="F128" i="5" s="1"/>
  <c r="T126" i="5"/>
  <c r="O126" i="5" s="1"/>
  <c r="T125" i="5"/>
  <c r="O125" i="5" s="1"/>
  <c r="Q122" i="5"/>
  <c r="J121" i="5"/>
  <c r="J122" i="5" s="1"/>
  <c r="I121" i="5"/>
  <c r="I122" i="5" s="1"/>
  <c r="H121" i="5"/>
  <c r="H122" i="5" s="1"/>
  <c r="G121" i="5"/>
  <c r="G122" i="5" s="1"/>
  <c r="F121" i="5"/>
  <c r="T120" i="5"/>
  <c r="O120" i="5" s="1"/>
  <c r="T119" i="5"/>
  <c r="M119" i="5" s="1"/>
  <c r="Q116" i="5"/>
  <c r="J115" i="5"/>
  <c r="J116" i="5" s="1"/>
  <c r="I115" i="5"/>
  <c r="I116" i="5" s="1"/>
  <c r="H115" i="5"/>
  <c r="H116" i="5" s="1"/>
  <c r="G115" i="5"/>
  <c r="F115" i="5"/>
  <c r="F116" i="5" s="1"/>
  <c r="T114" i="5"/>
  <c r="T113" i="5"/>
  <c r="Q110" i="5"/>
  <c r="P110" i="5"/>
  <c r="O110" i="5"/>
  <c r="N110" i="5"/>
  <c r="M110" i="5"/>
  <c r="L110" i="5"/>
  <c r="K110" i="5"/>
  <c r="J110" i="5"/>
  <c r="U109" i="5"/>
  <c r="I109" i="5"/>
  <c r="I110" i="5" s="1"/>
  <c r="H109" i="5"/>
  <c r="H110" i="5" s="1"/>
  <c r="G109" i="5"/>
  <c r="G110" i="5" s="1"/>
  <c r="F109" i="5"/>
  <c r="U108" i="5"/>
  <c r="T108" i="5"/>
  <c r="R108" i="5"/>
  <c r="U107" i="5"/>
  <c r="T107" i="5"/>
  <c r="R107" i="5"/>
  <c r="Q104" i="5"/>
  <c r="J103" i="5"/>
  <c r="J104" i="5" s="1"/>
  <c r="I103" i="5"/>
  <c r="I104" i="5" s="1"/>
  <c r="H103" i="5"/>
  <c r="H104" i="5" s="1"/>
  <c r="G103" i="5"/>
  <c r="G104" i="5" s="1"/>
  <c r="F103" i="5"/>
  <c r="F104" i="5" s="1"/>
  <c r="T102" i="5"/>
  <c r="O102" i="5" s="1"/>
  <c r="T101" i="5"/>
  <c r="O101" i="5" s="1"/>
  <c r="Q98" i="5"/>
  <c r="J97" i="5"/>
  <c r="J98" i="5" s="1"/>
  <c r="I97" i="5"/>
  <c r="I98" i="5" s="1"/>
  <c r="H97" i="5"/>
  <c r="H98" i="5" s="1"/>
  <c r="G97" i="5"/>
  <c r="G98" i="5" s="1"/>
  <c r="F97" i="5"/>
  <c r="F98" i="5" s="1"/>
  <c r="E97" i="5"/>
  <c r="E103" i="5" s="1"/>
  <c r="E109" i="5" s="1"/>
  <c r="E115" i="5" s="1"/>
  <c r="E121" i="5" s="1"/>
  <c r="T96" i="5"/>
  <c r="O96" i="5" s="1"/>
  <c r="M96" i="5"/>
  <c r="E96" i="5"/>
  <c r="E102" i="5" s="1"/>
  <c r="E108" i="5" s="1"/>
  <c r="E114" i="5" s="1"/>
  <c r="E120" i="5" s="1"/>
  <c r="T95" i="5"/>
  <c r="E95" i="5"/>
  <c r="E101" i="5" s="1"/>
  <c r="E107" i="5" s="1"/>
  <c r="E113" i="5" s="1"/>
  <c r="E119" i="5" s="1"/>
  <c r="Q92" i="5"/>
  <c r="P92" i="5"/>
  <c r="O92" i="5"/>
  <c r="N92" i="5"/>
  <c r="M92" i="5"/>
  <c r="L92" i="5"/>
  <c r="K91" i="5"/>
  <c r="U91" i="5" s="1"/>
  <c r="J91" i="5"/>
  <c r="J92" i="5" s="1"/>
  <c r="I91" i="5"/>
  <c r="I92" i="5" s="1"/>
  <c r="H91" i="5"/>
  <c r="H92" i="5" s="1"/>
  <c r="G91" i="5"/>
  <c r="G92" i="5" s="1"/>
  <c r="F91" i="5"/>
  <c r="F92" i="5" s="1"/>
  <c r="U90" i="5"/>
  <c r="T90" i="5"/>
  <c r="R90" i="5"/>
  <c r="T89" i="5"/>
  <c r="K89" i="5"/>
  <c r="U89" i="5" s="1"/>
  <c r="Q85" i="5"/>
  <c r="Q86" i="5" s="1"/>
  <c r="P85" i="5"/>
  <c r="P86" i="5" s="1"/>
  <c r="O85" i="5"/>
  <c r="O86" i="5" s="1"/>
  <c r="N85" i="5"/>
  <c r="N86" i="5" s="1"/>
  <c r="M85" i="5"/>
  <c r="M86" i="5" s="1"/>
  <c r="L85" i="5"/>
  <c r="L86" i="5" s="1"/>
  <c r="K85" i="5"/>
  <c r="K86" i="5" s="1"/>
  <c r="J85" i="5"/>
  <c r="J86" i="5" s="1"/>
  <c r="I85" i="5"/>
  <c r="I86" i="5" s="1"/>
  <c r="H85" i="5"/>
  <c r="H86" i="5" s="1"/>
  <c r="G85" i="5"/>
  <c r="G86" i="5" s="1"/>
  <c r="F85" i="5"/>
  <c r="U84" i="5"/>
  <c r="T84" i="5"/>
  <c r="R84" i="5"/>
  <c r="U83" i="5"/>
  <c r="T83" i="5"/>
  <c r="R83" i="5"/>
  <c r="Q80" i="5"/>
  <c r="J79" i="5"/>
  <c r="J80" i="5" s="1"/>
  <c r="I79" i="5"/>
  <c r="I80" i="5" s="1"/>
  <c r="H79" i="5"/>
  <c r="H80" i="5" s="1"/>
  <c r="G79" i="5"/>
  <c r="G80" i="5" s="1"/>
  <c r="F79" i="5"/>
  <c r="F80" i="5" s="1"/>
  <c r="T78" i="5"/>
  <c r="O78" i="5" s="1"/>
  <c r="T77" i="5"/>
  <c r="O77" i="5" s="1"/>
  <c r="Q73" i="5"/>
  <c r="P73" i="5"/>
  <c r="O73" i="5"/>
  <c r="N73" i="5"/>
  <c r="M73" i="5"/>
  <c r="M74" i="5" s="1"/>
  <c r="L73" i="5"/>
  <c r="L74" i="5" s="1"/>
  <c r="K73" i="5"/>
  <c r="K74" i="5" s="1"/>
  <c r="J73" i="5"/>
  <c r="J74" i="5" s="1"/>
  <c r="I73" i="5"/>
  <c r="I74" i="5" s="1"/>
  <c r="H73" i="5"/>
  <c r="H74" i="5" s="1"/>
  <c r="G73" i="5"/>
  <c r="G74" i="5" s="1"/>
  <c r="F73" i="5"/>
  <c r="E73" i="5"/>
  <c r="U72" i="5"/>
  <c r="T72" i="5"/>
  <c r="R72" i="5"/>
  <c r="E72" i="5"/>
  <c r="U71" i="5"/>
  <c r="T71" i="5"/>
  <c r="R71" i="5"/>
  <c r="E71" i="5"/>
  <c r="Q68" i="5"/>
  <c r="J67" i="5"/>
  <c r="J68" i="5" s="1"/>
  <c r="I67" i="5"/>
  <c r="I68" i="5" s="1"/>
  <c r="H67" i="5"/>
  <c r="H68" i="5" s="1"/>
  <c r="G67" i="5"/>
  <c r="G68" i="5" s="1"/>
  <c r="F67" i="5"/>
  <c r="F68" i="5" s="1"/>
  <c r="T66" i="5"/>
  <c r="O66" i="5" s="1"/>
  <c r="T65" i="5"/>
  <c r="O65" i="5" s="1"/>
  <c r="Q56" i="5"/>
  <c r="J55" i="5"/>
  <c r="J56" i="5" s="1"/>
  <c r="I55" i="5"/>
  <c r="I56" i="5" s="1"/>
  <c r="H55" i="5"/>
  <c r="H56" i="5" s="1"/>
  <c r="G55" i="5"/>
  <c r="G56" i="5" s="1"/>
  <c r="F55" i="5"/>
  <c r="F56" i="5" s="1"/>
  <c r="T54" i="5"/>
  <c r="O54" i="5" s="1"/>
  <c r="K54" i="5"/>
  <c r="T53" i="5"/>
  <c r="O53" i="5" s="1"/>
  <c r="K53" i="5"/>
  <c r="Q50" i="5"/>
  <c r="J49" i="5"/>
  <c r="J50" i="5" s="1"/>
  <c r="I49" i="5"/>
  <c r="I50" i="5" s="1"/>
  <c r="H49" i="5"/>
  <c r="H50" i="5" s="1"/>
  <c r="G49" i="5"/>
  <c r="G50" i="5" s="1"/>
  <c r="F49" i="5"/>
  <c r="T48" i="5"/>
  <c r="O48" i="5" s="1"/>
  <c r="T47" i="5"/>
  <c r="O47" i="5" s="1"/>
  <c r="Q44" i="5"/>
  <c r="J43" i="5"/>
  <c r="I43" i="5"/>
  <c r="I44" i="5" s="1"/>
  <c r="H43" i="5"/>
  <c r="H44" i="5" s="1"/>
  <c r="G43" i="5"/>
  <c r="G44" i="5" s="1"/>
  <c r="F43" i="5"/>
  <c r="F44" i="5" s="1"/>
  <c r="T42" i="5"/>
  <c r="O42" i="5" s="1"/>
  <c r="T41" i="5"/>
  <c r="Q32" i="5"/>
  <c r="P32" i="5"/>
  <c r="O32" i="5"/>
  <c r="N32" i="5"/>
  <c r="M32" i="5"/>
  <c r="L32" i="5"/>
  <c r="K32" i="5"/>
  <c r="J32" i="5"/>
  <c r="I32" i="5"/>
  <c r="H32" i="5"/>
  <c r="G32" i="5"/>
  <c r="F32" i="5"/>
  <c r="U31" i="5"/>
  <c r="T31" i="5"/>
  <c r="R31" i="5"/>
  <c r="U30" i="5"/>
  <c r="T30" i="5"/>
  <c r="R30" i="5"/>
  <c r="U29" i="5"/>
  <c r="T29" i="5"/>
  <c r="R29" i="5"/>
  <c r="Q26" i="5"/>
  <c r="P26" i="5"/>
  <c r="O26" i="5"/>
  <c r="N26" i="5"/>
  <c r="M26" i="5"/>
  <c r="L26" i="5"/>
  <c r="K26" i="5"/>
  <c r="J26" i="5"/>
  <c r="I26" i="5"/>
  <c r="H26" i="5"/>
  <c r="G26" i="5"/>
  <c r="F26" i="5"/>
  <c r="U25" i="5"/>
  <c r="T25" i="5"/>
  <c r="R25" i="5"/>
  <c r="U24" i="5"/>
  <c r="T24" i="5"/>
  <c r="R24" i="5"/>
  <c r="U23" i="5"/>
  <c r="T23" i="5"/>
  <c r="R23" i="5"/>
  <c r="C22" i="5"/>
  <c r="C28" i="5" s="1"/>
  <c r="C40" i="5" s="1"/>
  <c r="C46" i="5" s="1"/>
  <c r="C52" i="5" s="1"/>
  <c r="C64" i="5" s="1"/>
  <c r="C70" i="5" s="1"/>
  <c r="C76" i="5" s="1"/>
  <c r="C82" i="5" s="1"/>
  <c r="Q20" i="5"/>
  <c r="N20" i="5"/>
  <c r="M20" i="5"/>
  <c r="L20" i="5"/>
  <c r="K20" i="5"/>
  <c r="J20" i="5"/>
  <c r="I20" i="5"/>
  <c r="H20" i="5"/>
  <c r="G20" i="5"/>
  <c r="F20" i="5"/>
  <c r="R19" i="5"/>
  <c r="T18" i="5"/>
  <c r="T17" i="5"/>
  <c r="O17" i="5" s="1"/>
  <c r="O194" i="5" l="1"/>
  <c r="O20" i="5"/>
  <c r="P566" i="5"/>
  <c r="O132" i="5"/>
  <c r="O155" i="5"/>
  <c r="L161" i="5"/>
  <c r="R161" i="5" s="1"/>
  <c r="L191" i="5"/>
  <c r="R191" i="5" s="1"/>
  <c r="T530" i="5"/>
  <c r="U563" i="5"/>
  <c r="V563" i="5" s="1"/>
  <c r="O119" i="5"/>
  <c r="O221" i="5"/>
  <c r="V72" i="5"/>
  <c r="M102" i="5"/>
  <c r="M161" i="5"/>
  <c r="M191" i="5"/>
  <c r="L245" i="5"/>
  <c r="T451" i="5"/>
  <c r="L768" i="5"/>
  <c r="N842" i="5"/>
  <c r="O222" i="5"/>
  <c r="N860" i="5"/>
  <c r="O246" i="5"/>
  <c r="C100" i="5"/>
  <c r="K439" i="5"/>
  <c r="K587" i="5"/>
  <c r="U758" i="5"/>
  <c r="O282" i="5"/>
  <c r="O284" i="5" s="1"/>
  <c r="L439" i="5"/>
  <c r="U439" i="5" s="1"/>
  <c r="M587" i="5"/>
  <c r="R587" i="5" s="1"/>
  <c r="K612" i="5"/>
  <c r="T661" i="5"/>
  <c r="K804" i="5"/>
  <c r="R1020" i="5"/>
  <c r="O18" i="5"/>
  <c r="U18" i="5" s="1"/>
  <c r="V18" i="5" s="1"/>
  <c r="O365" i="5"/>
  <c r="O368" i="5" s="1"/>
  <c r="H218" i="5"/>
  <c r="M439" i="5"/>
  <c r="R439" i="5" s="1"/>
  <c r="L707" i="5"/>
  <c r="C94" i="5"/>
  <c r="O192" i="5"/>
  <c r="O366" i="5"/>
  <c r="L869" i="5"/>
  <c r="L882" i="5"/>
  <c r="U961" i="5"/>
  <c r="L216" i="5"/>
  <c r="L587" i="5"/>
  <c r="K599" i="5"/>
  <c r="K677" i="5"/>
  <c r="U839" i="5"/>
  <c r="T956" i="5"/>
  <c r="V1002" i="5"/>
  <c r="K437" i="5"/>
  <c r="K440" i="5" s="1"/>
  <c r="K515" i="5"/>
  <c r="V894" i="5"/>
  <c r="K913" i="5"/>
  <c r="R1004" i="5"/>
  <c r="T32" i="5"/>
  <c r="K65" i="5"/>
  <c r="T325" i="5"/>
  <c r="O325" i="5" s="1"/>
  <c r="O326" i="5" s="1"/>
  <c r="K379" i="5"/>
  <c r="R379" i="5" s="1"/>
  <c r="L437" i="5"/>
  <c r="L899" i="5"/>
  <c r="V695" i="5"/>
  <c r="L65" i="5"/>
  <c r="K96" i="5"/>
  <c r="U96" i="5" s="1"/>
  <c r="K132" i="5"/>
  <c r="L353" i="5"/>
  <c r="L379" i="5"/>
  <c r="K570" i="5"/>
  <c r="N600" i="5"/>
  <c r="F662" i="5"/>
  <c r="V954" i="5"/>
  <c r="M65" i="5"/>
  <c r="R65" i="5" s="1"/>
  <c r="L96" i="5"/>
  <c r="L132" i="5"/>
  <c r="K204" i="5"/>
  <c r="K245" i="5"/>
  <c r="M353" i="5"/>
  <c r="M379" i="5"/>
  <c r="V450" i="5"/>
  <c r="U552" i="5"/>
  <c r="L570" i="5"/>
  <c r="K707" i="5"/>
  <c r="R707" i="5" s="1"/>
  <c r="L731" i="5"/>
  <c r="K768" i="5"/>
  <c r="K888" i="5"/>
  <c r="K995" i="5"/>
  <c r="L1013" i="5"/>
  <c r="M66" i="5"/>
  <c r="L95" i="5"/>
  <c r="R95" i="5" s="1"/>
  <c r="K101" i="5"/>
  <c r="R101" i="5" s="1"/>
  <c r="U110" i="5"/>
  <c r="K312" i="5"/>
  <c r="K378" i="5"/>
  <c r="M444" i="5"/>
  <c r="K468" i="5"/>
  <c r="L492" i="5"/>
  <c r="V564" i="5"/>
  <c r="L623" i="5"/>
  <c r="L659" i="5"/>
  <c r="L678" i="5"/>
  <c r="M684" i="5"/>
  <c r="M690" i="5"/>
  <c r="K713" i="5"/>
  <c r="K779" i="5"/>
  <c r="L786" i="5"/>
  <c r="T787" i="5"/>
  <c r="L798" i="5"/>
  <c r="L827" i="5"/>
  <c r="M863" i="5"/>
  <c r="L883" i="5"/>
  <c r="M931" i="5"/>
  <c r="M962" i="5"/>
  <c r="R961" i="5"/>
  <c r="M95" i="5"/>
  <c r="V108" i="5"/>
  <c r="M131" i="5"/>
  <c r="K234" i="5"/>
  <c r="K323" i="5"/>
  <c r="L378" i="5"/>
  <c r="U378" i="5" s="1"/>
  <c r="K432" i="5"/>
  <c r="M468" i="5"/>
  <c r="M623" i="5"/>
  <c r="M659" i="5"/>
  <c r="T673" i="5"/>
  <c r="M678" i="5"/>
  <c r="P752" i="5"/>
  <c r="V757" i="5"/>
  <c r="V774" i="5"/>
  <c r="M786" i="5"/>
  <c r="V810" i="5"/>
  <c r="M827" i="5"/>
  <c r="L876" i="5"/>
  <c r="M925" i="5"/>
  <c r="R956" i="5"/>
  <c r="R18" i="5"/>
  <c r="K222" i="5"/>
  <c r="U222" i="5" s="1"/>
  <c r="K288" i="5"/>
  <c r="V582" i="5"/>
  <c r="L653" i="5"/>
  <c r="L685" i="5"/>
  <c r="M707" i="5"/>
  <c r="K869" i="5"/>
  <c r="K923" i="5"/>
  <c r="R923" i="5" s="1"/>
  <c r="K930" i="5"/>
  <c r="K932" i="5" s="1"/>
  <c r="K983" i="5"/>
  <c r="L995" i="5"/>
  <c r="T151" i="5"/>
  <c r="L288" i="5"/>
  <c r="L571" i="5"/>
  <c r="M685" i="5"/>
  <c r="R697" i="5"/>
  <c r="M995" i="5"/>
  <c r="U995" i="5" s="1"/>
  <c r="T121" i="5"/>
  <c r="O121" i="5" s="1"/>
  <c r="T331" i="5"/>
  <c r="O331" i="5" s="1"/>
  <c r="O332" i="5" s="1"/>
  <c r="U697" i="5"/>
  <c r="K66" i="5"/>
  <c r="V84" i="5"/>
  <c r="V186" i="5"/>
  <c r="K444" i="5"/>
  <c r="T547" i="5"/>
  <c r="V701" i="5"/>
  <c r="K725" i="5"/>
  <c r="L785" i="5"/>
  <c r="L797" i="5"/>
  <c r="V809" i="5"/>
  <c r="K842" i="5"/>
  <c r="K889" i="5"/>
  <c r="K890" i="5" s="1"/>
  <c r="M913" i="5"/>
  <c r="L924" i="5"/>
  <c r="K931" i="5"/>
  <c r="K942" i="5"/>
  <c r="R960" i="5"/>
  <c r="L996" i="5"/>
  <c r="M1013" i="5"/>
  <c r="U1013" i="5" s="1"/>
  <c r="V24" i="5"/>
  <c r="R32" i="5"/>
  <c r="T49" i="5"/>
  <c r="O49" i="5" s="1"/>
  <c r="L66" i="5"/>
  <c r="U66" i="5" s="1"/>
  <c r="T139" i="5"/>
  <c r="O139" i="5" s="1"/>
  <c r="T187" i="5"/>
  <c r="V187" i="5" s="1"/>
  <c r="L444" i="5"/>
  <c r="K492" i="5"/>
  <c r="K623" i="5"/>
  <c r="K659" i="5"/>
  <c r="F674" i="5"/>
  <c r="K678" i="5"/>
  <c r="L684" i="5"/>
  <c r="K827" i="5"/>
  <c r="K883" i="5"/>
  <c r="M924" i="5"/>
  <c r="R924" i="5" s="1"/>
  <c r="L931" i="5"/>
  <c r="M942" i="5"/>
  <c r="P974" i="5"/>
  <c r="V989" i="5"/>
  <c r="T188" i="5"/>
  <c r="K726" i="5"/>
  <c r="K571" i="5"/>
  <c r="T878" i="5"/>
  <c r="L875" i="5"/>
  <c r="U875" i="5" s="1"/>
  <c r="K875" i="5"/>
  <c r="J1026" i="5"/>
  <c r="T73" i="5"/>
  <c r="T74" i="5" s="1"/>
  <c r="N74" i="5"/>
  <c r="N1026" i="5"/>
  <c r="T85" i="5"/>
  <c r="V90" i="5"/>
  <c r="T91" i="5"/>
  <c r="T92" i="5" s="1"/>
  <c r="L101" i="5"/>
  <c r="T127" i="5"/>
  <c r="T128" i="5" s="1"/>
  <c r="R132" i="5"/>
  <c r="T199" i="5"/>
  <c r="F200" i="5"/>
  <c r="T253" i="5"/>
  <c r="L312" i="5"/>
  <c r="M354" i="5"/>
  <c r="L354" i="5"/>
  <c r="K354" i="5"/>
  <c r="R354" i="5" s="1"/>
  <c r="V420" i="5"/>
  <c r="U421" i="5"/>
  <c r="U422" i="5" s="1"/>
  <c r="L433" i="5"/>
  <c r="T457" i="5"/>
  <c r="K516" i="5"/>
  <c r="V527" i="5"/>
  <c r="T572" i="5"/>
  <c r="M569" i="5"/>
  <c r="L569" i="5"/>
  <c r="K569" i="5"/>
  <c r="O584" i="5"/>
  <c r="U583" i="5"/>
  <c r="L617" i="5"/>
  <c r="L620" i="5" s="1"/>
  <c r="K617" i="5"/>
  <c r="R617" i="5" s="1"/>
  <c r="M654" i="5"/>
  <c r="L654" i="5"/>
  <c r="K654" i="5"/>
  <c r="T662" i="5"/>
  <c r="J698" i="5"/>
  <c r="L962" i="5"/>
  <c r="R959" i="5"/>
  <c r="T380" i="5"/>
  <c r="P380" i="5"/>
  <c r="L377" i="5"/>
  <c r="K377" i="5"/>
  <c r="T434" i="5"/>
  <c r="K431" i="5"/>
  <c r="K434" i="5" s="1"/>
  <c r="M480" i="5"/>
  <c r="L480" i="5"/>
  <c r="K480" i="5"/>
  <c r="L900" i="5"/>
  <c r="K900" i="5"/>
  <c r="K540" i="5"/>
  <c r="U540" i="5" s="1"/>
  <c r="L540" i="5"/>
  <c r="H632" i="5"/>
  <c r="T631" i="5"/>
  <c r="R26" i="5"/>
  <c r="L282" i="5"/>
  <c r="R282" i="5"/>
  <c r="T853" i="5"/>
  <c r="T854" i="5" s="1"/>
  <c r="H854" i="5"/>
  <c r="T896" i="5"/>
  <c r="V893" i="5"/>
  <c r="T26" i="5"/>
  <c r="V25" i="5"/>
  <c r="U26" i="5"/>
  <c r="V30" i="5"/>
  <c r="M101" i="5"/>
  <c r="T109" i="5"/>
  <c r="K120" i="5"/>
  <c r="H137" i="5"/>
  <c r="K203" i="5"/>
  <c r="T229" i="5"/>
  <c r="L287" i="5"/>
  <c r="K287" i="5"/>
  <c r="M312" i="5"/>
  <c r="R312" i="5" s="1"/>
  <c r="K367" i="5"/>
  <c r="U367" i="5" s="1"/>
  <c r="P644" i="5"/>
  <c r="U643" i="5"/>
  <c r="L689" i="5"/>
  <c r="K689" i="5"/>
  <c r="R689" i="5" s="1"/>
  <c r="L767" i="5"/>
  <c r="K767" i="5"/>
  <c r="L816" i="5"/>
  <c r="K816" i="5"/>
  <c r="T818" i="5"/>
  <c r="K918" i="5"/>
  <c r="P1010" i="5"/>
  <c r="M1007" i="5"/>
  <c r="U1007" i="5" s="1"/>
  <c r="L1007" i="5"/>
  <c r="K1007" i="5"/>
  <c r="P122" i="5"/>
  <c r="L138" i="5"/>
  <c r="P138" i="5"/>
  <c r="P1032" i="5" s="1"/>
  <c r="L222" i="5"/>
  <c r="T632" i="5"/>
  <c r="N1037" i="5"/>
  <c r="T721" i="5"/>
  <c r="M721" i="5" s="1"/>
  <c r="F722" i="5"/>
  <c r="L780" i="5"/>
  <c r="K780" i="5"/>
  <c r="U780" i="5" s="1"/>
  <c r="M877" i="5"/>
  <c r="M878" i="5" s="1"/>
  <c r="L877" i="5"/>
  <c r="K877" i="5"/>
  <c r="L911" i="5"/>
  <c r="P914" i="5"/>
  <c r="K911" i="5"/>
  <c r="M911" i="5"/>
  <c r="M914" i="5" s="1"/>
  <c r="T932" i="5"/>
  <c r="M929" i="5"/>
  <c r="L929" i="5"/>
  <c r="K929" i="5"/>
  <c r="K935" i="5"/>
  <c r="M943" i="5"/>
  <c r="U943" i="5" s="1"/>
  <c r="L943" i="5"/>
  <c r="K943" i="5"/>
  <c r="L984" i="5"/>
  <c r="K984" i="5"/>
  <c r="M324" i="5"/>
  <c r="P326" i="5"/>
  <c r="M413" i="5"/>
  <c r="L413" i="5"/>
  <c r="K413" i="5"/>
  <c r="M624" i="5"/>
  <c r="L624" i="5"/>
  <c r="K624" i="5"/>
  <c r="L438" i="5"/>
  <c r="K438" i="5"/>
  <c r="R438" i="5" s="1"/>
  <c r="K660" i="5"/>
  <c r="P662" i="5"/>
  <c r="L660" i="5"/>
  <c r="V23" i="5"/>
  <c r="F188" i="5"/>
  <c r="R187" i="5"/>
  <c r="M233" i="5"/>
  <c r="K233" i="5"/>
  <c r="K246" i="5"/>
  <c r="K433" i="5"/>
  <c r="R433" i="5" s="1"/>
  <c r="V433" i="5" s="1"/>
  <c r="L516" i="5"/>
  <c r="P548" i="5"/>
  <c r="T20" i="5"/>
  <c r="V31" i="5"/>
  <c r="N42" i="5"/>
  <c r="F50" i="5"/>
  <c r="K102" i="5"/>
  <c r="M120" i="5"/>
  <c r="K131" i="5"/>
  <c r="K156" i="5"/>
  <c r="L162" i="5"/>
  <c r="R162" i="5" s="1"/>
  <c r="T163" i="5"/>
  <c r="M281" i="5"/>
  <c r="L281" i="5"/>
  <c r="K281" i="5"/>
  <c r="M377" i="5"/>
  <c r="M425" i="5"/>
  <c r="L425" i="5"/>
  <c r="K425" i="5"/>
  <c r="M431" i="5"/>
  <c r="L445" i="5"/>
  <c r="K445" i="5"/>
  <c r="L611" i="5"/>
  <c r="K611" i="5"/>
  <c r="U611" i="5" s="1"/>
  <c r="L732" i="5"/>
  <c r="K732" i="5"/>
  <c r="T446" i="5"/>
  <c r="L443" i="5"/>
  <c r="K443" i="5"/>
  <c r="K366" i="5"/>
  <c r="R366" i="5" s="1"/>
  <c r="L366" i="5"/>
  <c r="F482" i="5"/>
  <c r="T481" i="5"/>
  <c r="T944" i="5"/>
  <c r="M941" i="5"/>
  <c r="L941" i="5"/>
  <c r="L944" i="5" s="1"/>
  <c r="K941" i="5"/>
  <c r="U32" i="5"/>
  <c r="R91" i="5"/>
  <c r="L120" i="5"/>
  <c r="K162" i="5"/>
  <c r="L431" i="5"/>
  <c r="K554" i="5"/>
  <c r="U551" i="5"/>
  <c r="K77" i="5"/>
  <c r="U92" i="5"/>
  <c r="K95" i="5"/>
  <c r="L102" i="5"/>
  <c r="L131" i="5"/>
  <c r="K138" i="5"/>
  <c r="F152" i="5"/>
  <c r="M162" i="5"/>
  <c r="U162" i="5" s="1"/>
  <c r="T181" i="5"/>
  <c r="O181" i="5" s="1"/>
  <c r="O182" i="5" s="1"/>
  <c r="M221" i="5"/>
  <c r="L221" i="5"/>
  <c r="K353" i="5"/>
  <c r="N377" i="5"/>
  <c r="K426" i="5"/>
  <c r="U426" i="5" s="1"/>
  <c r="M443" i="5"/>
  <c r="L479" i="5"/>
  <c r="K479" i="5"/>
  <c r="T577" i="5"/>
  <c r="P578" i="5" s="1"/>
  <c r="G578" i="5"/>
  <c r="F710" i="5"/>
  <c r="T709" i="5"/>
  <c r="M554" i="5"/>
  <c r="K743" i="5"/>
  <c r="L817" i="5"/>
  <c r="U817" i="5" s="1"/>
  <c r="M817" i="5"/>
  <c r="R823" i="5"/>
  <c r="R824" i="5" s="1"/>
  <c r="F860" i="5"/>
  <c r="T884" i="5"/>
  <c r="U956" i="5"/>
  <c r="V528" i="5"/>
  <c r="M570" i="5"/>
  <c r="L618" i="5"/>
  <c r="T619" i="5"/>
  <c r="P620" i="5" s="1"/>
  <c r="U631" i="5"/>
  <c r="U632" i="5" s="1"/>
  <c r="K632" i="5"/>
  <c r="M653" i="5"/>
  <c r="M803" i="5"/>
  <c r="U840" i="5"/>
  <c r="V852" i="5"/>
  <c r="U853" i="5"/>
  <c r="L887" i="5"/>
  <c r="R887" i="5" s="1"/>
  <c r="K887" i="5"/>
  <c r="K906" i="5"/>
  <c r="L913" i="5"/>
  <c r="M930" i="5"/>
  <c r="K936" i="5"/>
  <c r="L942" i="5"/>
  <c r="U942" i="5" s="1"/>
  <c r="T979" i="5"/>
  <c r="P1016" i="5"/>
  <c r="BE1021" i="5"/>
  <c r="BE1022" i="5" s="1"/>
  <c r="M155" i="5"/>
  <c r="M192" i="5"/>
  <c r="R308" i="5"/>
  <c r="L311" i="5"/>
  <c r="R311" i="5" s="1"/>
  <c r="L323" i="5"/>
  <c r="U323" i="5" s="1"/>
  <c r="M378" i="5"/>
  <c r="L432" i="5"/>
  <c r="T440" i="5"/>
  <c r="T553" i="5"/>
  <c r="T559" i="5"/>
  <c r="T560" i="5" s="1"/>
  <c r="U601" i="5"/>
  <c r="M612" i="5"/>
  <c r="U612" i="5" s="1"/>
  <c r="M618" i="5"/>
  <c r="R618" i="5" s="1"/>
  <c r="K690" i="5"/>
  <c r="U690" i="5" s="1"/>
  <c r="M713" i="5"/>
  <c r="M744" i="5"/>
  <c r="T788" i="5"/>
  <c r="L870" i="5"/>
  <c r="K876" i="5"/>
  <c r="T962" i="5"/>
  <c r="V1008" i="5"/>
  <c r="BE1016" i="5"/>
  <c r="T1022" i="5"/>
  <c r="L1022" i="5"/>
  <c r="R1021" i="5"/>
  <c r="R1022" i="5" s="1"/>
  <c r="M174" i="5"/>
  <c r="T193" i="5"/>
  <c r="O193" i="5" s="1"/>
  <c r="M311" i="5"/>
  <c r="M323" i="5"/>
  <c r="K365" i="5"/>
  <c r="K368" i="5" s="1"/>
  <c r="N378" i="5"/>
  <c r="M432" i="5"/>
  <c r="T469" i="5"/>
  <c r="P470" i="5" s="1"/>
  <c r="V510" i="5"/>
  <c r="K539" i="5"/>
  <c r="U539" i="5" s="1"/>
  <c r="T595" i="5"/>
  <c r="P596" i="5" s="1"/>
  <c r="U644" i="5"/>
  <c r="T649" i="5"/>
  <c r="M649" i="5" s="1"/>
  <c r="M666" i="5"/>
  <c r="L725" i="5"/>
  <c r="U731" i="5"/>
  <c r="K731" i="5"/>
  <c r="M768" i="5"/>
  <c r="U768" i="5" s="1"/>
  <c r="M779" i="5"/>
  <c r="U779" i="5" s="1"/>
  <c r="M798" i="5"/>
  <c r="L804" i="5"/>
  <c r="G824" i="5"/>
  <c r="K828" i="5"/>
  <c r="T871" i="5"/>
  <c r="M882" i="5"/>
  <c r="L925" i="5"/>
  <c r="U960" i="5"/>
  <c r="T967" i="5"/>
  <c r="U983" i="5"/>
  <c r="M983" i="5"/>
  <c r="U1004" i="5"/>
  <c r="V1004" i="5" s="1"/>
  <c r="AY1022" i="5"/>
  <c r="V372" i="5"/>
  <c r="U451" i="5"/>
  <c r="U452" i="5" s="1"/>
  <c r="L515" i="5"/>
  <c r="T523" i="5"/>
  <c r="R530" i="5"/>
  <c r="V529" i="5"/>
  <c r="R552" i="5"/>
  <c r="V552" i="5" s="1"/>
  <c r="T583" i="5"/>
  <c r="T584" i="5" s="1"/>
  <c r="P590" i="5"/>
  <c r="V606" i="5"/>
  <c r="R631" i="5"/>
  <c r="T643" i="5"/>
  <c r="T644" i="5" s="1"/>
  <c r="T667" i="5"/>
  <c r="T686" i="5"/>
  <c r="P686" i="5"/>
  <c r="M714" i="5"/>
  <c r="V755" i="5"/>
  <c r="V762" i="5"/>
  <c r="U763" i="5"/>
  <c r="U764" i="5" s="1"/>
  <c r="P788" i="5"/>
  <c r="K785" i="5"/>
  <c r="M804" i="5"/>
  <c r="L815" i="5"/>
  <c r="V822" i="5"/>
  <c r="M842" i="5"/>
  <c r="V845" i="5"/>
  <c r="L888" i="5"/>
  <c r="L917" i="5"/>
  <c r="T926" i="5"/>
  <c r="L923" i="5"/>
  <c r="V955" i="5"/>
  <c r="K962" i="5"/>
  <c r="K996" i="5"/>
  <c r="K684" i="5"/>
  <c r="V702" i="5"/>
  <c r="U703" i="5"/>
  <c r="U704" i="5" s="1"/>
  <c r="K708" i="5"/>
  <c r="T715" i="5"/>
  <c r="T758" i="5"/>
  <c r="K786" i="5"/>
  <c r="R786" i="5" s="1"/>
  <c r="M828" i="5"/>
  <c r="U847" i="5"/>
  <c r="T858" i="5"/>
  <c r="L864" i="5"/>
  <c r="T902" i="5"/>
  <c r="P902" i="5"/>
  <c r="K924" i="5"/>
  <c r="V1020" i="5"/>
  <c r="V756" i="5"/>
  <c r="L842" i="5"/>
  <c r="U859" i="5"/>
  <c r="U959" i="5"/>
  <c r="T992" i="5"/>
  <c r="V1003" i="5"/>
  <c r="V895" i="5"/>
  <c r="U896" i="5"/>
  <c r="U685" i="5"/>
  <c r="V19" i="5"/>
  <c r="T110" i="5"/>
  <c r="T86" i="5"/>
  <c r="L49" i="5"/>
  <c r="M139" i="5"/>
  <c r="L139" i="5"/>
  <c r="K139" i="5"/>
  <c r="F206" i="5"/>
  <c r="T205" i="5"/>
  <c r="M125" i="5"/>
  <c r="L125" i="5"/>
  <c r="K125" i="5"/>
  <c r="M228" i="5"/>
  <c r="L228" i="5"/>
  <c r="K228" i="5"/>
  <c r="M330" i="5"/>
  <c r="L330" i="5"/>
  <c r="K330" i="5"/>
  <c r="M469" i="5"/>
  <c r="L469" i="5"/>
  <c r="V29" i="5"/>
  <c r="K47" i="5"/>
  <c r="T67" i="5"/>
  <c r="V71" i="5"/>
  <c r="O1038" i="5"/>
  <c r="O1039" i="5" s="1"/>
  <c r="O74" i="5"/>
  <c r="K78" i="5"/>
  <c r="R89" i="5"/>
  <c r="T97" i="5"/>
  <c r="F110" i="5"/>
  <c r="F134" i="5"/>
  <c r="T133" i="5"/>
  <c r="M181" i="5"/>
  <c r="M193" i="5"/>
  <c r="L193" i="5"/>
  <c r="K193" i="5"/>
  <c r="N198" i="5"/>
  <c r="M198" i="5"/>
  <c r="L198" i="5"/>
  <c r="K198" i="5"/>
  <c r="F218" i="5"/>
  <c r="T217" i="5"/>
  <c r="O217" i="5" s="1"/>
  <c r="M229" i="5"/>
  <c r="N326" i="5"/>
  <c r="F428" i="5"/>
  <c r="T427" i="5"/>
  <c r="K481" i="5"/>
  <c r="T482" i="5"/>
  <c r="M481" i="5"/>
  <c r="M482" i="5" s="1"/>
  <c r="L481" i="5"/>
  <c r="L482" i="5" s="1"/>
  <c r="K584" i="5"/>
  <c r="U581" i="5"/>
  <c r="R581" i="5"/>
  <c r="T115" i="5"/>
  <c r="M197" i="5"/>
  <c r="L197" i="5"/>
  <c r="K197" i="5"/>
  <c r="L47" i="5"/>
  <c r="K48" i="5"/>
  <c r="L53" i="5"/>
  <c r="L54" i="5"/>
  <c r="P1038" i="5"/>
  <c r="P1039" i="5" s="1"/>
  <c r="P74" i="5"/>
  <c r="L77" i="5"/>
  <c r="L78" i="5"/>
  <c r="V83" i="5"/>
  <c r="R96" i="5"/>
  <c r="T103" i="5"/>
  <c r="V107" i="5"/>
  <c r="F122" i="5"/>
  <c r="M150" i="5"/>
  <c r="L150" i="5"/>
  <c r="K150" i="5"/>
  <c r="F158" i="5"/>
  <c r="T157" i="5"/>
  <c r="N194" i="5"/>
  <c r="M257" i="5"/>
  <c r="L257" i="5"/>
  <c r="K257" i="5"/>
  <c r="T524" i="5"/>
  <c r="M521" i="5"/>
  <c r="L521" i="5"/>
  <c r="K521" i="5"/>
  <c r="L548" i="5"/>
  <c r="U547" i="5"/>
  <c r="U185" i="5"/>
  <c r="U188" i="5" s="1"/>
  <c r="R185" i="5"/>
  <c r="F494" i="5"/>
  <c r="T493" i="5"/>
  <c r="P494" i="5" s="1"/>
  <c r="G542" i="5"/>
  <c r="T541" i="5"/>
  <c r="M558" i="5"/>
  <c r="L558" i="5"/>
  <c r="K558" i="5"/>
  <c r="F74" i="5"/>
  <c r="K92" i="5"/>
  <c r="V371" i="5"/>
  <c r="L902" i="5"/>
  <c r="K41" i="5"/>
  <c r="K42" i="5"/>
  <c r="F1026" i="5"/>
  <c r="M47" i="5"/>
  <c r="L48" i="5"/>
  <c r="M53" i="5"/>
  <c r="M54" i="5"/>
  <c r="T55" i="5"/>
  <c r="O55" i="5" s="1"/>
  <c r="O56" i="5" s="1"/>
  <c r="R66" i="5"/>
  <c r="Q1038" i="5"/>
  <c r="Q1039" i="5" s="1"/>
  <c r="Q1026" i="5"/>
  <c r="Q74" i="5"/>
  <c r="M77" i="5"/>
  <c r="M78" i="5"/>
  <c r="T79" i="5"/>
  <c r="O79" i="5" s="1"/>
  <c r="O80" i="5" s="1"/>
  <c r="R85" i="5"/>
  <c r="G116" i="5"/>
  <c r="U373" i="5"/>
  <c r="U374" i="5" s="1"/>
  <c r="U433" i="5"/>
  <c r="M455" i="5"/>
  <c r="L455" i="5"/>
  <c r="T458" i="5"/>
  <c r="K455" i="5"/>
  <c r="R511" i="5"/>
  <c r="N548" i="5"/>
  <c r="F86" i="5"/>
  <c r="K194" i="5"/>
  <c r="F356" i="5"/>
  <c r="T355" i="5"/>
  <c r="O355" i="5" s="1"/>
  <c r="O356" i="5" s="1"/>
  <c r="L452" i="5"/>
  <c r="T565" i="5"/>
  <c r="T566" i="5" s="1"/>
  <c r="R565" i="5"/>
  <c r="R566" i="5" s="1"/>
  <c r="F566" i="5"/>
  <c r="M149" i="5"/>
  <c r="L149" i="5"/>
  <c r="K149" i="5"/>
  <c r="L41" i="5"/>
  <c r="L42" i="5"/>
  <c r="G1026" i="5"/>
  <c r="J44" i="5"/>
  <c r="M48" i="5"/>
  <c r="R73" i="5"/>
  <c r="R74" i="5" s="1"/>
  <c r="K114" i="5"/>
  <c r="K119" i="5"/>
  <c r="L121" i="5"/>
  <c r="M126" i="5"/>
  <c r="L126" i="5"/>
  <c r="K126" i="5"/>
  <c r="K127" i="5"/>
  <c r="T194" i="5"/>
  <c r="T223" i="5"/>
  <c r="O223" i="5" s="1"/>
  <c r="M258" i="5"/>
  <c r="L258" i="5"/>
  <c r="K258" i="5"/>
  <c r="F290" i="5"/>
  <c r="T289" i="5"/>
  <c r="O289" i="5" s="1"/>
  <c r="O290" i="5" s="1"/>
  <c r="U312" i="5"/>
  <c r="L368" i="5"/>
  <c r="T421" i="5"/>
  <c r="T422" i="5" s="1"/>
  <c r="R421" i="5"/>
  <c r="L467" i="5"/>
  <c r="T470" i="5"/>
  <c r="M467" i="5"/>
  <c r="K467" i="5"/>
  <c r="V509" i="5"/>
  <c r="N620" i="5"/>
  <c r="L619" i="5"/>
  <c r="K619" i="5"/>
  <c r="T620" i="5"/>
  <c r="N164" i="5"/>
  <c r="M180" i="5"/>
  <c r="L180" i="5"/>
  <c r="K180" i="5"/>
  <c r="U858" i="5"/>
  <c r="K860" i="5"/>
  <c r="M41" i="5"/>
  <c r="M42" i="5"/>
  <c r="H1026" i="5"/>
  <c r="T43" i="5"/>
  <c r="O43" i="5" s="1"/>
  <c r="O44" i="5" s="1"/>
  <c r="U85" i="5"/>
  <c r="U86" i="5" s="1"/>
  <c r="R109" i="5"/>
  <c r="V109" i="5" s="1"/>
  <c r="L119" i="5"/>
  <c r="M121" i="5"/>
  <c r="N182" i="5"/>
  <c r="M179" i="5"/>
  <c r="L179" i="5"/>
  <c r="K179" i="5"/>
  <c r="F248" i="5"/>
  <c r="T247" i="5"/>
  <c r="O247" i="5" s="1"/>
  <c r="N254" i="5"/>
  <c r="T259" i="5"/>
  <c r="M368" i="5"/>
  <c r="M456" i="5"/>
  <c r="L456" i="5"/>
  <c r="K456" i="5"/>
  <c r="N1038" i="5"/>
  <c r="I1026" i="5"/>
  <c r="U73" i="5"/>
  <c r="U74" i="5" s="1"/>
  <c r="T175" i="5"/>
  <c r="O175" i="5" s="1"/>
  <c r="K188" i="5"/>
  <c r="R216" i="5"/>
  <c r="U221" i="5"/>
  <c r="N230" i="5"/>
  <c r="M227" i="5"/>
  <c r="L227" i="5"/>
  <c r="K227" i="5"/>
  <c r="K229" i="5"/>
  <c r="T313" i="5"/>
  <c r="M329" i="5"/>
  <c r="L329" i="5"/>
  <c r="K329" i="5"/>
  <c r="T373" i="5"/>
  <c r="T374" i="5" s="1"/>
  <c r="R373" i="5"/>
  <c r="V419" i="5"/>
  <c r="T452" i="5"/>
  <c r="U553" i="5"/>
  <c r="L554" i="5"/>
  <c r="M577" i="5"/>
  <c r="L577" i="5"/>
  <c r="F140" i="5"/>
  <c r="L155" i="5"/>
  <c r="U155" i="5" s="1"/>
  <c r="L156" i="5"/>
  <c r="F176" i="5"/>
  <c r="F194" i="5"/>
  <c r="L203" i="5"/>
  <c r="L204" i="5"/>
  <c r="M216" i="5"/>
  <c r="U216" i="5" s="1"/>
  <c r="R221" i="5"/>
  <c r="M245" i="5"/>
  <c r="R245" i="5" s="1"/>
  <c r="M246" i="5"/>
  <c r="U246" i="5" s="1"/>
  <c r="M287" i="5"/>
  <c r="M288" i="5"/>
  <c r="U288" i="5" s="1"/>
  <c r="F326" i="5"/>
  <c r="F452" i="5"/>
  <c r="M457" i="5"/>
  <c r="K457" i="5"/>
  <c r="M522" i="5"/>
  <c r="L522" i="5"/>
  <c r="K522" i="5"/>
  <c r="T548" i="5"/>
  <c r="T607" i="5"/>
  <c r="T608" i="5" s="1"/>
  <c r="R607" i="5"/>
  <c r="R608" i="5" s="1"/>
  <c r="F608" i="5"/>
  <c r="M648" i="5"/>
  <c r="L648" i="5"/>
  <c r="K648" i="5"/>
  <c r="T775" i="5"/>
  <c r="T776" i="5" s="1"/>
  <c r="R775" i="5"/>
  <c r="R776" i="5" s="1"/>
  <c r="F776" i="5"/>
  <c r="G140" i="5"/>
  <c r="M156" i="5"/>
  <c r="M203" i="5"/>
  <c r="M204" i="5"/>
  <c r="F224" i="5"/>
  <c r="L233" i="5"/>
  <c r="L234" i="5"/>
  <c r="F254" i="5"/>
  <c r="L414" i="5"/>
  <c r="F458" i="5"/>
  <c r="T554" i="5"/>
  <c r="T590" i="5"/>
  <c r="U600" i="5"/>
  <c r="R600" i="5"/>
  <c r="H140" i="5"/>
  <c r="M234" i="5"/>
  <c r="T235" i="5"/>
  <c r="O235" i="5" s="1"/>
  <c r="O236" i="5" s="1"/>
  <c r="T283" i="5"/>
  <c r="O283" i="5" s="1"/>
  <c r="T368" i="5"/>
  <c r="M414" i="5"/>
  <c r="T415" i="5"/>
  <c r="O415" i="5" s="1"/>
  <c r="O416" i="5" s="1"/>
  <c r="L468" i="5"/>
  <c r="U468" i="5" s="1"/>
  <c r="N482" i="5"/>
  <c r="M575" i="5"/>
  <c r="L575" i="5"/>
  <c r="K575" i="5"/>
  <c r="M589" i="5"/>
  <c r="M590" i="5" s="1"/>
  <c r="L589" i="5"/>
  <c r="L590" i="5" s="1"/>
  <c r="K589" i="5"/>
  <c r="P602" i="5"/>
  <c r="M661" i="5"/>
  <c r="M662" i="5" s="1"/>
  <c r="L661" i="5"/>
  <c r="K661" i="5"/>
  <c r="T674" i="5"/>
  <c r="M671" i="5"/>
  <c r="L671" i="5"/>
  <c r="K671" i="5"/>
  <c r="T215" i="5"/>
  <c r="O215" i="5" s="1"/>
  <c r="O218" i="5" s="1"/>
  <c r="K324" i="5"/>
  <c r="K374" i="5"/>
  <c r="K422" i="5"/>
  <c r="V449" i="5"/>
  <c r="T517" i="5"/>
  <c r="M523" i="5"/>
  <c r="L523" i="5"/>
  <c r="I812" i="5"/>
  <c r="T811" i="5"/>
  <c r="T812" i="5" s="1"/>
  <c r="R811" i="5"/>
  <c r="R812" i="5" s="1"/>
  <c r="L174" i="5"/>
  <c r="R174" i="5" s="1"/>
  <c r="L192" i="5"/>
  <c r="U192" i="5" s="1"/>
  <c r="L324" i="5"/>
  <c r="R451" i="5"/>
  <c r="V451" i="5" s="1"/>
  <c r="F470" i="5"/>
  <c r="M557" i="5"/>
  <c r="L557" i="5"/>
  <c r="K557" i="5"/>
  <c r="M576" i="5"/>
  <c r="L576" i="5"/>
  <c r="K576" i="5"/>
  <c r="U654" i="5"/>
  <c r="M491" i="5"/>
  <c r="U491" i="5" s="1"/>
  <c r="M492" i="5"/>
  <c r="T494" i="5"/>
  <c r="T511" i="5"/>
  <c r="T512" i="5" s="1"/>
  <c r="R515" i="5"/>
  <c r="R516" i="5"/>
  <c r="F548" i="5"/>
  <c r="F554" i="5"/>
  <c r="N554" i="5"/>
  <c r="F584" i="5"/>
  <c r="R588" i="5"/>
  <c r="R653" i="5"/>
  <c r="N668" i="5"/>
  <c r="F680" i="5"/>
  <c r="T679" i="5"/>
  <c r="P680" i="5" s="1"/>
  <c r="H692" i="5"/>
  <c r="T691" i="5"/>
  <c r="U511" i="5"/>
  <c r="U512" i="5" s="1"/>
  <c r="F518" i="5"/>
  <c r="H524" i="5"/>
  <c r="G548" i="5"/>
  <c r="N596" i="5"/>
  <c r="T596" i="5"/>
  <c r="M593" i="5"/>
  <c r="L593" i="5"/>
  <c r="K593" i="5"/>
  <c r="U599" i="5"/>
  <c r="R599" i="5"/>
  <c r="K602" i="5"/>
  <c r="V605" i="5"/>
  <c r="R632" i="5"/>
  <c r="M672" i="5"/>
  <c r="L672" i="5"/>
  <c r="K672" i="5"/>
  <c r="M709" i="5"/>
  <c r="L709" i="5"/>
  <c r="L710" i="5" s="1"/>
  <c r="K709" i="5"/>
  <c r="M751" i="5"/>
  <c r="L751" i="5"/>
  <c r="K751" i="5"/>
  <c r="U530" i="5"/>
  <c r="V530" i="5" s="1"/>
  <c r="N602" i="5"/>
  <c r="M635" i="5"/>
  <c r="L635" i="5"/>
  <c r="K635" i="5"/>
  <c r="V642" i="5"/>
  <c r="T668" i="5"/>
  <c r="U678" i="5"/>
  <c r="R678" i="5"/>
  <c r="G836" i="5"/>
  <c r="F614" i="5"/>
  <c r="T613" i="5"/>
  <c r="R623" i="5"/>
  <c r="T625" i="5"/>
  <c r="P626" i="5" s="1"/>
  <c r="F656" i="5"/>
  <c r="T655" i="5"/>
  <c r="N662" i="5"/>
  <c r="V696" i="5"/>
  <c r="R698" i="5"/>
  <c r="T722" i="5"/>
  <c r="M719" i="5"/>
  <c r="L719" i="5"/>
  <c r="K719" i="5"/>
  <c r="V833" i="5"/>
  <c r="R553" i="5"/>
  <c r="R583" i="5"/>
  <c r="M594" i="5"/>
  <c r="L594" i="5"/>
  <c r="K594" i="5"/>
  <c r="U607" i="5"/>
  <c r="U608" i="5" s="1"/>
  <c r="V630" i="5"/>
  <c r="M636" i="5"/>
  <c r="L636" i="5"/>
  <c r="K636" i="5"/>
  <c r="U677" i="5"/>
  <c r="R677" i="5"/>
  <c r="R551" i="5"/>
  <c r="U565" i="5"/>
  <c r="U588" i="5"/>
  <c r="U624" i="5"/>
  <c r="T637" i="5"/>
  <c r="P638" i="5" s="1"/>
  <c r="M647" i="5"/>
  <c r="L647" i="5"/>
  <c r="K647" i="5"/>
  <c r="Q602" i="5"/>
  <c r="F626" i="5"/>
  <c r="F644" i="5"/>
  <c r="V773" i="5"/>
  <c r="M787" i="5"/>
  <c r="M788" i="5" s="1"/>
  <c r="L787" i="5"/>
  <c r="K787" i="5"/>
  <c r="R841" i="5"/>
  <c r="R601" i="5"/>
  <c r="U623" i="5"/>
  <c r="F632" i="5"/>
  <c r="M720" i="5"/>
  <c r="L720" i="5"/>
  <c r="K720" i="5"/>
  <c r="F728" i="5"/>
  <c r="T727" i="5"/>
  <c r="T601" i="5"/>
  <c r="T602" i="5" s="1"/>
  <c r="R684" i="5"/>
  <c r="N716" i="5"/>
  <c r="T763" i="5"/>
  <c r="T764" i="5" s="1"/>
  <c r="R763" i="5"/>
  <c r="R846" i="5"/>
  <c r="F848" i="5"/>
  <c r="K848" i="5"/>
  <c r="K608" i="5"/>
  <c r="V641" i="5"/>
  <c r="K665" i="5"/>
  <c r="K666" i="5"/>
  <c r="K686" i="5"/>
  <c r="R713" i="5"/>
  <c r="N752" i="5"/>
  <c r="M749" i="5"/>
  <c r="L749" i="5"/>
  <c r="K749" i="5"/>
  <c r="T752" i="5"/>
  <c r="V761" i="5"/>
  <c r="U775" i="5"/>
  <c r="U776" i="5" s="1"/>
  <c r="F782" i="5"/>
  <c r="T781" i="5"/>
  <c r="N788" i="5"/>
  <c r="G806" i="5"/>
  <c r="T805" i="5"/>
  <c r="T829" i="5"/>
  <c r="T846" i="5"/>
  <c r="V629" i="5"/>
  <c r="R643" i="5"/>
  <c r="V643" i="5" s="1"/>
  <c r="L665" i="5"/>
  <c r="L666" i="5"/>
  <c r="L686" i="5"/>
  <c r="U698" i="5"/>
  <c r="N710" i="5"/>
  <c r="M792" i="5"/>
  <c r="L792" i="5"/>
  <c r="K792" i="5"/>
  <c r="M665" i="5"/>
  <c r="M686" i="5"/>
  <c r="T733" i="5"/>
  <c r="T745" i="5"/>
  <c r="M750" i="5"/>
  <c r="L750" i="5"/>
  <c r="K750" i="5"/>
  <c r="T835" i="5"/>
  <c r="R685" i="5"/>
  <c r="T697" i="5"/>
  <c r="K698" i="5"/>
  <c r="R703" i="5"/>
  <c r="F716" i="5"/>
  <c r="L726" i="5"/>
  <c r="F746" i="5"/>
  <c r="R840" i="5"/>
  <c r="F842" i="5"/>
  <c r="U848" i="5"/>
  <c r="N872" i="5"/>
  <c r="T703" i="5"/>
  <c r="T704" i="5" s="1"/>
  <c r="K704" i="5"/>
  <c r="U713" i="5"/>
  <c r="M725" i="5"/>
  <c r="U725" i="5" s="1"/>
  <c r="M726" i="5"/>
  <c r="U726" i="5" s="1"/>
  <c r="U811" i="5"/>
  <c r="U812" i="5" s="1"/>
  <c r="R847" i="5"/>
  <c r="R758" i="5"/>
  <c r="T769" i="5"/>
  <c r="T793" i="5"/>
  <c r="P794" i="5" s="1"/>
  <c r="M797" i="5"/>
  <c r="R797" i="5" s="1"/>
  <c r="M816" i="5"/>
  <c r="R839" i="5"/>
  <c r="L860" i="5"/>
  <c r="U857" i="5"/>
  <c r="U860" i="5" s="1"/>
  <c r="R857" i="5"/>
  <c r="K776" i="5"/>
  <c r="K791" i="5"/>
  <c r="T799" i="5"/>
  <c r="P800" i="5" s="1"/>
  <c r="N818" i="5"/>
  <c r="V821" i="5"/>
  <c r="T841" i="5"/>
  <c r="V851" i="5"/>
  <c r="M860" i="5"/>
  <c r="L714" i="5"/>
  <c r="L743" i="5"/>
  <c r="L744" i="5"/>
  <c r="K764" i="5"/>
  <c r="L791" i="5"/>
  <c r="K815" i="5"/>
  <c r="F830" i="5"/>
  <c r="U841" i="5"/>
  <c r="U842" i="5" s="1"/>
  <c r="U854" i="5"/>
  <c r="R853" i="5"/>
  <c r="T859" i="5"/>
  <c r="R859" i="5"/>
  <c r="M871" i="5"/>
  <c r="L871" i="5"/>
  <c r="L872" i="5" s="1"/>
  <c r="K871" i="5"/>
  <c r="K872" i="5" s="1"/>
  <c r="M743" i="5"/>
  <c r="M791" i="5"/>
  <c r="F794" i="5"/>
  <c r="K798" i="5"/>
  <c r="M815" i="5"/>
  <c r="U827" i="5"/>
  <c r="T840" i="5"/>
  <c r="T847" i="5"/>
  <c r="K854" i="5"/>
  <c r="T865" i="5"/>
  <c r="M905" i="5"/>
  <c r="L905" i="5"/>
  <c r="F938" i="5"/>
  <c r="T937" i="5"/>
  <c r="M972" i="5"/>
  <c r="L972" i="5"/>
  <c r="K972" i="5"/>
  <c r="T985" i="5"/>
  <c r="T997" i="5"/>
  <c r="F1025" i="5"/>
  <c r="R858" i="5"/>
  <c r="F872" i="5"/>
  <c r="M889" i="5"/>
  <c r="M890" i="5" s="1"/>
  <c r="M901" i="5"/>
  <c r="T907" i="5"/>
  <c r="P908" i="5" s="1"/>
  <c r="N962" i="5"/>
  <c r="T974" i="5"/>
  <c r="M979" i="5"/>
  <c r="R983" i="5"/>
  <c r="V1019" i="5"/>
  <c r="U1021" i="5"/>
  <c r="U1022" i="5" s="1"/>
  <c r="U913" i="5"/>
  <c r="R913" i="5"/>
  <c r="U931" i="5"/>
  <c r="R931" i="5"/>
  <c r="M966" i="5"/>
  <c r="L966" i="5"/>
  <c r="K966" i="5"/>
  <c r="N1010" i="5"/>
  <c r="M1009" i="5"/>
  <c r="M1010" i="5" s="1"/>
  <c r="L1009" i="5"/>
  <c r="L1010" i="5" s="1"/>
  <c r="K1009" i="5"/>
  <c r="N1016" i="5"/>
  <c r="M1015" i="5"/>
  <c r="L1015" i="5"/>
  <c r="T823" i="5"/>
  <c r="T834" i="5"/>
  <c r="V834" i="5" s="1"/>
  <c r="K881" i="5"/>
  <c r="M900" i="5"/>
  <c r="T914" i="5"/>
  <c r="N914" i="5"/>
  <c r="V956" i="5"/>
  <c r="M973" i="5"/>
  <c r="L973" i="5"/>
  <c r="K973" i="5"/>
  <c r="T1016" i="5"/>
  <c r="U823" i="5"/>
  <c r="U824" i="5" s="1"/>
  <c r="U835" i="5"/>
  <c r="U836" i="5" s="1"/>
  <c r="L881" i="5"/>
  <c r="T890" i="5"/>
  <c r="F920" i="5"/>
  <c r="T919" i="5"/>
  <c r="M932" i="5"/>
  <c r="M967" i="5"/>
  <c r="L967" i="5"/>
  <c r="T980" i="5"/>
  <c r="M977" i="5"/>
  <c r="L977" i="5"/>
  <c r="K977" i="5"/>
  <c r="V1001" i="5"/>
  <c r="M881" i="5"/>
  <c r="M899" i="5"/>
  <c r="K905" i="5"/>
  <c r="K912" i="5"/>
  <c r="K914" i="5" s="1"/>
  <c r="V961" i="5"/>
  <c r="M971" i="5"/>
  <c r="L971" i="5"/>
  <c r="K971" i="5"/>
  <c r="V990" i="5"/>
  <c r="I998" i="5"/>
  <c r="T1010" i="5"/>
  <c r="V1014" i="5"/>
  <c r="F836" i="5"/>
  <c r="K863" i="5"/>
  <c r="K864" i="5"/>
  <c r="M869" i="5"/>
  <c r="M870" i="5"/>
  <c r="T872" i="5"/>
  <c r="R875" i="5"/>
  <c r="N884" i="5"/>
  <c r="K901" i="5"/>
  <c r="K902" i="5" s="1"/>
  <c r="M906" i="5"/>
  <c r="L906" i="5"/>
  <c r="L912" i="5"/>
  <c r="N926" i="5"/>
  <c r="V953" i="5"/>
  <c r="R896" i="5"/>
  <c r="M912" i="5"/>
  <c r="T968" i="5"/>
  <c r="M965" i="5"/>
  <c r="L965" i="5"/>
  <c r="K965" i="5"/>
  <c r="N1032" i="5"/>
  <c r="M978" i="5"/>
  <c r="L978" i="5"/>
  <c r="K978" i="5"/>
  <c r="K979" i="5"/>
  <c r="M917" i="5"/>
  <c r="M918" i="5"/>
  <c r="N932" i="5"/>
  <c r="M935" i="5"/>
  <c r="M936" i="5"/>
  <c r="U936" i="5" s="1"/>
  <c r="G968" i="5"/>
  <c r="R991" i="5"/>
  <c r="R992" i="5" s="1"/>
  <c r="U991" i="5"/>
  <c r="U992" i="5" s="1"/>
  <c r="V1022" i="5" l="1"/>
  <c r="U566" i="5"/>
  <c r="V566" i="5" s="1"/>
  <c r="P164" i="5"/>
  <c r="O163" i="5"/>
  <c r="O164" i="5" s="1"/>
  <c r="O248" i="5"/>
  <c r="M926" i="5"/>
  <c r="L788" i="5"/>
  <c r="U996" i="5"/>
  <c r="V697" i="5"/>
  <c r="U492" i="5"/>
  <c r="M595" i="5"/>
  <c r="R222" i="5"/>
  <c r="P314" i="5"/>
  <c r="O313" i="5"/>
  <c r="O314" i="5" s="1"/>
  <c r="U379" i="5"/>
  <c r="M440" i="5"/>
  <c r="R941" i="5"/>
  <c r="U660" i="5"/>
  <c r="U132" i="5"/>
  <c r="V132" i="5" s="1"/>
  <c r="R828" i="5"/>
  <c r="U930" i="5"/>
  <c r="U618" i="5"/>
  <c r="V618" i="5" s="1"/>
  <c r="P944" i="5"/>
  <c r="P230" i="5"/>
  <c r="O229" i="5"/>
  <c r="O230" i="5" s="1"/>
  <c r="U354" i="5"/>
  <c r="U684" i="5"/>
  <c r="V684" i="5" s="1"/>
  <c r="U707" i="5"/>
  <c r="R883" i="5"/>
  <c r="R444" i="5"/>
  <c r="V444" i="5" s="1"/>
  <c r="O224" i="5"/>
  <c r="P134" i="5"/>
  <c r="O133" i="5"/>
  <c r="O134" i="5" s="1"/>
  <c r="R930" i="5"/>
  <c r="M1016" i="5"/>
  <c r="R540" i="5"/>
  <c r="U431" i="5"/>
  <c r="K181" i="5"/>
  <c r="K182" i="5" s="1"/>
  <c r="P104" i="5"/>
  <c r="O103" i="5"/>
  <c r="O104" i="5" s="1"/>
  <c r="K926" i="5"/>
  <c r="V758" i="5"/>
  <c r="R683" i="5"/>
  <c r="R234" i="5"/>
  <c r="U191" i="5"/>
  <c r="T290" i="5"/>
  <c r="T326" i="5"/>
  <c r="K325" i="5"/>
  <c r="P158" i="5"/>
  <c r="O157" i="5"/>
  <c r="O158" i="5" s="1"/>
  <c r="P98" i="5"/>
  <c r="O97" i="5"/>
  <c r="O98" i="5" s="1"/>
  <c r="P68" i="5"/>
  <c r="P206" i="5"/>
  <c r="O205" i="5"/>
  <c r="O206" i="5" s="1"/>
  <c r="U708" i="5"/>
  <c r="U923" i="5"/>
  <c r="U437" i="5"/>
  <c r="R570" i="5"/>
  <c r="R131" i="5"/>
  <c r="L440" i="5"/>
  <c r="L380" i="5"/>
  <c r="U161" i="5"/>
  <c r="U443" i="5"/>
  <c r="P128" i="5"/>
  <c r="O127" i="5"/>
  <c r="O128" i="5" s="1"/>
  <c r="U918" i="5"/>
  <c r="U786" i="5"/>
  <c r="M127" i="5"/>
  <c r="T182" i="5"/>
  <c r="V421" i="5"/>
  <c r="L325" i="5"/>
  <c r="U353" i="5"/>
  <c r="L932" i="5"/>
  <c r="K151" i="5"/>
  <c r="K152" i="5" s="1"/>
  <c r="O122" i="5"/>
  <c r="R917" i="5"/>
  <c r="M884" i="5"/>
  <c r="U900" i="5"/>
  <c r="V900" i="5" s="1"/>
  <c r="R1013" i="5"/>
  <c r="V1013" i="5" s="1"/>
  <c r="R611" i="5"/>
  <c r="V611" i="5" s="1"/>
  <c r="P260" i="5"/>
  <c r="O259" i="5"/>
  <c r="O260" i="5" s="1"/>
  <c r="M325" i="5"/>
  <c r="M326" i="5" s="1"/>
  <c r="U95" i="5"/>
  <c r="R942" i="5"/>
  <c r="V942" i="5" s="1"/>
  <c r="L127" i="5"/>
  <c r="K469" i="5"/>
  <c r="R612" i="5"/>
  <c r="R943" i="5"/>
  <c r="V943" i="5" s="1"/>
  <c r="T200" i="5"/>
  <c r="O199" i="5"/>
  <c r="O200" i="5" s="1"/>
  <c r="C118" i="5"/>
  <c r="C124" i="5" s="1"/>
  <c r="C130" i="5" s="1"/>
  <c r="C136" i="5" s="1"/>
  <c r="C148" i="5" s="1"/>
  <c r="C112" i="5"/>
  <c r="N1039" i="5"/>
  <c r="V96" i="5"/>
  <c r="U444" i="5"/>
  <c r="U365" i="5"/>
  <c r="R708" i="5"/>
  <c r="R817" i="5"/>
  <c r="U377" i="5"/>
  <c r="U876" i="5"/>
  <c r="R378" i="5"/>
  <c r="V378" i="5" s="1"/>
  <c r="T164" i="5"/>
  <c r="U653" i="5"/>
  <c r="V653" i="5" s="1"/>
  <c r="K715" i="5"/>
  <c r="K716" i="5" s="1"/>
  <c r="V931" i="5"/>
  <c r="U877" i="5"/>
  <c r="T860" i="5"/>
  <c r="R690" i="5"/>
  <c r="V690" i="5" s="1"/>
  <c r="M715" i="5"/>
  <c r="M716" i="5" s="1"/>
  <c r="U545" i="5"/>
  <c r="U828" i="5"/>
  <c r="M710" i="5"/>
  <c r="R539" i="5"/>
  <c r="R233" i="5"/>
  <c r="M619" i="5"/>
  <c r="M620" i="5" s="1"/>
  <c r="K446" i="5"/>
  <c r="R367" i="5"/>
  <c r="R77" i="5"/>
  <c r="R193" i="5"/>
  <c r="P194" i="5"/>
  <c r="U480" i="5"/>
  <c r="R654" i="5"/>
  <c r="V654" i="5" s="1"/>
  <c r="L572" i="5"/>
  <c r="M944" i="5"/>
  <c r="K662" i="5"/>
  <c r="U924" i="5"/>
  <c r="U926" i="5" s="1"/>
  <c r="R443" i="5"/>
  <c r="U743" i="5"/>
  <c r="R731" i="5"/>
  <c r="V703" i="5"/>
  <c r="R156" i="5"/>
  <c r="K163" i="5"/>
  <c r="R426" i="5"/>
  <c r="M194" i="5"/>
  <c r="U887" i="5"/>
  <c r="V887" i="5" s="1"/>
  <c r="V91" i="5"/>
  <c r="P446" i="5"/>
  <c r="R120" i="5"/>
  <c r="U546" i="5"/>
  <c r="R660" i="5"/>
  <c r="P254" i="5"/>
  <c r="U984" i="5"/>
  <c r="R780" i="5"/>
  <c r="U689" i="5"/>
  <c r="V689" i="5" s="1"/>
  <c r="R962" i="5"/>
  <c r="R569" i="5"/>
  <c r="V32" i="5"/>
  <c r="L163" i="5"/>
  <c r="L164" i="5" s="1"/>
  <c r="R437" i="5"/>
  <c r="R440" i="5" s="1"/>
  <c r="R432" i="5"/>
  <c r="U311" i="5"/>
  <c r="V311" i="5" s="1"/>
  <c r="R732" i="5"/>
  <c r="R102" i="5"/>
  <c r="L914" i="5"/>
  <c r="M163" i="5"/>
  <c r="P998" i="5"/>
  <c r="U917" i="5"/>
  <c r="V917" i="5" s="1"/>
  <c r="R925" i="5"/>
  <c r="V925" i="5" s="1"/>
  <c r="R779" i="5"/>
  <c r="U941" i="5"/>
  <c r="U425" i="5"/>
  <c r="V600" i="5"/>
  <c r="K667" i="5"/>
  <c r="U584" i="5"/>
  <c r="U785" i="5"/>
  <c r="U438" i="5"/>
  <c r="V438" i="5" s="1"/>
  <c r="U65" i="5"/>
  <c r="U803" i="5"/>
  <c r="M434" i="5"/>
  <c r="P332" i="5"/>
  <c r="L331" i="5"/>
  <c r="P674" i="5"/>
  <c r="L673" i="5"/>
  <c r="L674" i="5" s="1"/>
  <c r="R744" i="5"/>
  <c r="M199" i="5"/>
  <c r="M200" i="5" s="1"/>
  <c r="V66" i="5"/>
  <c r="M331" i="5"/>
  <c r="M49" i="5"/>
  <c r="M151" i="5"/>
  <c r="M152" i="5" s="1"/>
  <c r="R888" i="5"/>
  <c r="R876" i="5"/>
  <c r="U659" i="5"/>
  <c r="V827" i="5"/>
  <c r="U925" i="5"/>
  <c r="U935" i="5"/>
  <c r="U816" i="5"/>
  <c r="U683" i="5"/>
  <c r="V683" i="5" s="1"/>
  <c r="V583" i="5"/>
  <c r="L326" i="5"/>
  <c r="L662" i="5"/>
  <c r="U554" i="5"/>
  <c r="U445" i="5"/>
  <c r="K49" i="5"/>
  <c r="R882" i="5"/>
  <c r="K331" i="5"/>
  <c r="K332" i="5" s="1"/>
  <c r="H1027" i="5"/>
  <c r="R659" i="5"/>
  <c r="V659" i="5" s="1"/>
  <c r="R936" i="5"/>
  <c r="V936" i="5" s="1"/>
  <c r="U732" i="5"/>
  <c r="V732" i="5" s="1"/>
  <c r="R431" i="5"/>
  <c r="V431" i="5" s="1"/>
  <c r="M230" i="5"/>
  <c r="P248" i="5"/>
  <c r="M122" i="5"/>
  <c r="R139" i="5"/>
  <c r="U883" i="5"/>
  <c r="L926" i="5"/>
  <c r="P542" i="5"/>
  <c r="R323" i="5"/>
  <c r="P872" i="5"/>
  <c r="U102" i="5"/>
  <c r="U101" i="5"/>
  <c r="V101" i="5" s="1"/>
  <c r="L884" i="5"/>
  <c r="K944" i="5"/>
  <c r="T716" i="5"/>
  <c r="R984" i="5"/>
  <c r="R996" i="5"/>
  <c r="M650" i="5"/>
  <c r="P290" i="5"/>
  <c r="V896" i="5"/>
  <c r="U906" i="5"/>
  <c r="R900" i="5"/>
  <c r="R911" i="5"/>
  <c r="T650" i="5"/>
  <c r="T626" i="5"/>
  <c r="V553" i="5"/>
  <c r="P218" i="5"/>
  <c r="T578" i="5"/>
  <c r="M559" i="5"/>
  <c r="R414" i="5"/>
  <c r="T206" i="5"/>
  <c r="R287" i="5"/>
  <c r="L667" i="5"/>
  <c r="R667" i="5" s="1"/>
  <c r="L332" i="5"/>
  <c r="T230" i="5"/>
  <c r="R425" i="5"/>
  <c r="L122" i="5"/>
  <c r="R377" i="5"/>
  <c r="V74" i="5"/>
  <c r="P830" i="5"/>
  <c r="U515" i="5"/>
  <c r="V515" i="5" s="1"/>
  <c r="U516" i="5"/>
  <c r="V516" i="5" s="1"/>
  <c r="P356" i="5"/>
  <c r="R827" i="5"/>
  <c r="P152" i="5"/>
  <c r="K595" i="5"/>
  <c r="K596" i="5" s="1"/>
  <c r="M667" i="5"/>
  <c r="M332" i="5"/>
  <c r="K380" i="5"/>
  <c r="M164" i="5"/>
  <c r="R353" i="5"/>
  <c r="V353" i="5" s="1"/>
  <c r="T122" i="5"/>
  <c r="R288" i="5"/>
  <c r="V288" i="5" s="1"/>
  <c r="R365" i="5"/>
  <c r="R368" i="5" s="1"/>
  <c r="T50" i="5"/>
  <c r="K673" i="5"/>
  <c r="M446" i="5"/>
  <c r="P1025" i="5"/>
  <c r="T254" i="5"/>
  <c r="T842" i="5"/>
  <c r="R785" i="5"/>
  <c r="L715" i="5"/>
  <c r="M673" i="5"/>
  <c r="V835" i="5"/>
  <c r="L595" i="5"/>
  <c r="L596" i="5" s="1"/>
  <c r="K577" i="5"/>
  <c r="R577" i="5" s="1"/>
  <c r="T332" i="5"/>
  <c r="M470" i="5"/>
  <c r="T152" i="5"/>
  <c r="K121" i="5"/>
  <c r="U121" i="5" s="1"/>
  <c r="T134" i="5"/>
  <c r="U54" i="5"/>
  <c r="R481" i="5"/>
  <c r="L229" i="5"/>
  <c r="R229" i="5" s="1"/>
  <c r="L818" i="5"/>
  <c r="U962" i="5"/>
  <c r="V962" i="5" s="1"/>
  <c r="R804" i="5"/>
  <c r="P668" i="5"/>
  <c r="U432" i="5"/>
  <c r="R445" i="5"/>
  <c r="U131" i="5"/>
  <c r="U366" i="5"/>
  <c r="U368" i="5" s="1"/>
  <c r="T614" i="5"/>
  <c r="P176" i="5"/>
  <c r="P926" i="5"/>
  <c r="P782" i="5"/>
  <c r="P650" i="5"/>
  <c r="L649" i="5"/>
  <c r="L650" i="5" s="1"/>
  <c r="K649" i="5"/>
  <c r="K650" i="5" s="1"/>
  <c r="P440" i="5"/>
  <c r="P890" i="5"/>
  <c r="R768" i="5"/>
  <c r="V768" i="5" s="1"/>
  <c r="N1024" i="5"/>
  <c r="N380" i="5"/>
  <c r="P182" i="5"/>
  <c r="L181" i="5"/>
  <c r="L182" i="5" s="1"/>
  <c r="P284" i="5"/>
  <c r="R624" i="5"/>
  <c r="V624" i="5" s="1"/>
  <c r="P458" i="5"/>
  <c r="L457" i="5"/>
  <c r="K878" i="5"/>
  <c r="R246" i="5"/>
  <c r="V246" i="5" s="1"/>
  <c r="T908" i="5"/>
  <c r="U889" i="5"/>
  <c r="T770" i="5"/>
  <c r="P770" i="5"/>
  <c r="T794" i="5"/>
  <c r="L974" i="5"/>
  <c r="T998" i="5"/>
  <c r="M818" i="5"/>
  <c r="V859" i="5"/>
  <c r="V786" i="5"/>
  <c r="T728" i="5"/>
  <c r="P728" i="5"/>
  <c r="R492" i="5"/>
  <c r="U156" i="5"/>
  <c r="V85" i="5"/>
  <c r="T428" i="5"/>
  <c r="P818" i="5"/>
  <c r="P692" i="5"/>
  <c r="L890" i="5"/>
  <c r="P746" i="5"/>
  <c r="P44" i="5"/>
  <c r="L446" i="5"/>
  <c r="U882" i="5"/>
  <c r="P986" i="5"/>
  <c r="R877" i="5"/>
  <c r="P722" i="5"/>
  <c r="L721" i="5"/>
  <c r="K721" i="5"/>
  <c r="R1007" i="5"/>
  <c r="V1007" i="5" s="1"/>
  <c r="P482" i="5"/>
  <c r="K572" i="5"/>
  <c r="U569" i="5"/>
  <c r="V569" i="5" s="1"/>
  <c r="L878" i="5"/>
  <c r="R422" i="5"/>
  <c r="V422" i="5" s="1"/>
  <c r="T80" i="5"/>
  <c r="P80" i="5"/>
  <c r="T56" i="5"/>
  <c r="P56" i="5"/>
  <c r="T176" i="5"/>
  <c r="P866" i="5"/>
  <c r="P920" i="5"/>
  <c r="P524" i="5"/>
  <c r="K523" i="5"/>
  <c r="K524" i="5" s="1"/>
  <c r="U804" i="5"/>
  <c r="U479" i="5"/>
  <c r="R479" i="5"/>
  <c r="P50" i="5"/>
  <c r="R546" i="5"/>
  <c r="R767" i="5"/>
  <c r="U767" i="5"/>
  <c r="U282" i="5"/>
  <c r="V282" i="5" s="1"/>
  <c r="P878" i="5"/>
  <c r="M974" i="5"/>
  <c r="V1021" i="5"/>
  <c r="M968" i="5"/>
  <c r="R889" i="5"/>
  <c r="V847" i="5"/>
  <c r="R644" i="5"/>
  <c r="V644" i="5" s="1"/>
  <c r="V373" i="5"/>
  <c r="R469" i="5"/>
  <c r="V631" i="5"/>
  <c r="U888" i="5"/>
  <c r="P560" i="5"/>
  <c r="L559" i="5"/>
  <c r="L560" i="5" s="1"/>
  <c r="K559" i="5"/>
  <c r="U138" i="5"/>
  <c r="R138" i="5"/>
  <c r="P614" i="5"/>
  <c r="P428" i="5"/>
  <c r="N1025" i="5"/>
  <c r="P518" i="5"/>
  <c r="P932" i="5"/>
  <c r="U570" i="5"/>
  <c r="P368" i="5"/>
  <c r="H1024" i="5"/>
  <c r="I137" i="5"/>
  <c r="P434" i="5"/>
  <c r="V959" i="5"/>
  <c r="M572" i="5"/>
  <c r="V883" i="5"/>
  <c r="V763" i="5"/>
  <c r="T656" i="5"/>
  <c r="P656" i="5"/>
  <c r="M674" i="5"/>
  <c r="U204" i="5"/>
  <c r="M182" i="5"/>
  <c r="R110" i="5"/>
  <c r="V110" i="5" s="1"/>
  <c r="P968" i="5"/>
  <c r="K967" i="5"/>
  <c r="P734" i="5"/>
  <c r="M380" i="5"/>
  <c r="P236" i="5"/>
  <c r="R413" i="5"/>
  <c r="U413" i="5"/>
  <c r="U120" i="5"/>
  <c r="V26" i="5"/>
  <c r="U617" i="5"/>
  <c r="V617" i="5" s="1"/>
  <c r="P572" i="5"/>
  <c r="P200" i="5"/>
  <c r="L199" i="5"/>
  <c r="L200" i="5" s="1"/>
  <c r="K199" i="5"/>
  <c r="M128" i="5"/>
  <c r="P806" i="5"/>
  <c r="R281" i="5"/>
  <c r="U281" i="5"/>
  <c r="P116" i="5"/>
  <c r="R571" i="5"/>
  <c r="U571" i="5"/>
  <c r="V960" i="5"/>
  <c r="V840" i="5"/>
  <c r="V632" i="5"/>
  <c r="T416" i="5"/>
  <c r="V823" i="5"/>
  <c r="T836" i="5"/>
  <c r="R523" i="5"/>
  <c r="G1027" i="5"/>
  <c r="F1027" i="5"/>
  <c r="P716" i="5"/>
  <c r="P710" i="5"/>
  <c r="T710" i="5"/>
  <c r="P224" i="5"/>
  <c r="L434" i="5"/>
  <c r="P20" i="5"/>
  <c r="U17" i="5"/>
  <c r="U20" i="5" s="1"/>
  <c r="R17" i="5"/>
  <c r="R480" i="5"/>
  <c r="L979" i="5"/>
  <c r="L980" i="5" s="1"/>
  <c r="P980" i="5"/>
  <c r="P884" i="5"/>
  <c r="R803" i="5"/>
  <c r="P416" i="5"/>
  <c r="P938" i="5"/>
  <c r="U944" i="5"/>
  <c r="V913" i="5"/>
  <c r="V685" i="5"/>
  <c r="V678" i="5"/>
  <c r="V612" i="5"/>
  <c r="V588" i="5"/>
  <c r="V312" i="5"/>
  <c r="V222" i="5"/>
  <c r="U869" i="5"/>
  <c r="M872" i="5"/>
  <c r="R869" i="5"/>
  <c r="M97" i="5"/>
  <c r="M98" i="5" s="1"/>
  <c r="L97" i="5"/>
  <c r="L98" i="5" s="1"/>
  <c r="K97" i="5"/>
  <c r="N98" i="5"/>
  <c r="T98" i="5"/>
  <c r="U965" i="5"/>
  <c r="R965" i="5"/>
  <c r="N866" i="5"/>
  <c r="M865" i="5"/>
  <c r="M866" i="5" s="1"/>
  <c r="L865" i="5"/>
  <c r="L866" i="5" s="1"/>
  <c r="K865" i="5"/>
  <c r="K866" i="5" s="1"/>
  <c r="T866" i="5"/>
  <c r="N524" i="5"/>
  <c r="V323" i="5"/>
  <c r="L157" i="5"/>
  <c r="L158" i="5" s="1"/>
  <c r="K157" i="5"/>
  <c r="N158" i="5"/>
  <c r="M157" i="5"/>
  <c r="M158" i="5" s="1"/>
  <c r="U77" i="5"/>
  <c r="L50" i="5"/>
  <c r="M217" i="5"/>
  <c r="L217" i="5"/>
  <c r="K217" i="5"/>
  <c r="V95" i="5"/>
  <c r="N68" i="5"/>
  <c r="U228" i="5"/>
  <c r="R228" i="5"/>
  <c r="L968" i="5"/>
  <c r="N908" i="5"/>
  <c r="U863" i="5"/>
  <c r="R863" i="5"/>
  <c r="M985" i="5"/>
  <c r="M986" i="5" s="1"/>
  <c r="L985" i="5"/>
  <c r="L986" i="5" s="1"/>
  <c r="K985" i="5"/>
  <c r="N986" i="5"/>
  <c r="T986" i="5"/>
  <c r="U911" i="5"/>
  <c r="U791" i="5"/>
  <c r="R791" i="5"/>
  <c r="V839" i="5"/>
  <c r="R842" i="5"/>
  <c r="V842" i="5" s="1"/>
  <c r="T824" i="5"/>
  <c r="V824" i="5" s="1"/>
  <c r="V731" i="5"/>
  <c r="M668" i="5"/>
  <c r="T848" i="5"/>
  <c r="L781" i="5"/>
  <c r="L782" i="5" s="1"/>
  <c r="K781" i="5"/>
  <c r="T782" i="5"/>
  <c r="N782" i="5"/>
  <c r="M781" i="5"/>
  <c r="M782" i="5" s="1"/>
  <c r="M752" i="5"/>
  <c r="V817" i="5"/>
  <c r="U744" i="5"/>
  <c r="U787" i="5"/>
  <c r="K788" i="5"/>
  <c r="R787" i="5"/>
  <c r="R545" i="5"/>
  <c r="M548" i="5"/>
  <c r="N590" i="5"/>
  <c r="U587" i="5"/>
  <c r="V623" i="5"/>
  <c r="R602" i="5"/>
  <c r="V599" i="5"/>
  <c r="N692" i="5"/>
  <c r="M691" i="5"/>
  <c r="M692" i="5" s="1"/>
  <c r="L691" i="5"/>
  <c r="L692" i="5" s="1"/>
  <c r="K691" i="5"/>
  <c r="T692" i="5"/>
  <c r="V660" i="5"/>
  <c r="R557" i="5"/>
  <c r="K560" i="5"/>
  <c r="U557" i="5"/>
  <c r="R671" i="5"/>
  <c r="K674" i="5"/>
  <c r="U671" i="5"/>
  <c r="R575" i="5"/>
  <c r="U575" i="5"/>
  <c r="K283" i="5"/>
  <c r="N284" i="5"/>
  <c r="M283" i="5"/>
  <c r="M284" i="5" s="1"/>
  <c r="L283" i="5"/>
  <c r="L284" i="5" s="1"/>
  <c r="V607" i="5"/>
  <c r="N140" i="5"/>
  <c r="U287" i="5"/>
  <c r="V287" i="5" s="1"/>
  <c r="U446" i="5"/>
  <c r="N50" i="5"/>
  <c r="V426" i="5"/>
  <c r="M50" i="5"/>
  <c r="N542" i="5"/>
  <c r="M541" i="5"/>
  <c r="M542" i="5" s="1"/>
  <c r="L541" i="5"/>
  <c r="L542" i="5" s="1"/>
  <c r="K541" i="5"/>
  <c r="T542" i="5"/>
  <c r="R452" i="5"/>
  <c r="V452" i="5" s="1"/>
  <c r="R197" i="5"/>
  <c r="U197" i="5"/>
  <c r="R584" i="5"/>
  <c r="V581" i="5"/>
  <c r="U481" i="5"/>
  <c r="K482" i="5"/>
  <c r="T284" i="5"/>
  <c r="U193" i="5"/>
  <c r="V89" i="5"/>
  <c r="R92" i="5"/>
  <c r="V92" i="5" s="1"/>
  <c r="R47" i="5"/>
  <c r="K50" i="5"/>
  <c r="U47" i="5"/>
  <c r="N128" i="5"/>
  <c r="R54" i="5"/>
  <c r="V707" i="5"/>
  <c r="R749" i="5"/>
  <c r="U749" i="5"/>
  <c r="K752" i="5"/>
  <c r="U666" i="5"/>
  <c r="R666" i="5"/>
  <c r="V677" i="5"/>
  <c r="V608" i="5"/>
  <c r="V443" i="5"/>
  <c r="R48" i="5"/>
  <c r="U48" i="5"/>
  <c r="L355" i="5"/>
  <c r="L356" i="5" s="1"/>
  <c r="K355" i="5"/>
  <c r="T356" i="5"/>
  <c r="N356" i="5"/>
  <c r="M355" i="5"/>
  <c r="M356" i="5" s="1"/>
  <c r="V185" i="5"/>
  <c r="R188" i="5"/>
  <c r="V188" i="5" s="1"/>
  <c r="V930" i="5"/>
  <c r="U901" i="5"/>
  <c r="R901" i="5"/>
  <c r="R971" i="5"/>
  <c r="U971" i="5"/>
  <c r="K974" i="5"/>
  <c r="U912" i="5"/>
  <c r="R912" i="5"/>
  <c r="R871" i="5"/>
  <c r="M980" i="5"/>
  <c r="R929" i="5"/>
  <c r="R972" i="5"/>
  <c r="U972" i="5"/>
  <c r="R935" i="5"/>
  <c r="R816" i="5"/>
  <c r="R714" i="5"/>
  <c r="K769" i="5"/>
  <c r="N770" i="5"/>
  <c r="M769" i="5"/>
  <c r="M770" i="5" s="1"/>
  <c r="L769" i="5"/>
  <c r="L770" i="5" s="1"/>
  <c r="V780" i="5"/>
  <c r="N746" i="5"/>
  <c r="M745" i="5"/>
  <c r="M746" i="5" s="1"/>
  <c r="L745" i="5"/>
  <c r="L746" i="5" s="1"/>
  <c r="K745" i="5"/>
  <c r="M829" i="5"/>
  <c r="M830" i="5" s="1"/>
  <c r="K829" i="5"/>
  <c r="T830" i="5"/>
  <c r="N830" i="5"/>
  <c r="L829" i="5"/>
  <c r="L830" i="5" s="1"/>
  <c r="T698" i="5"/>
  <c r="V698" i="5" s="1"/>
  <c r="R704" i="5"/>
  <c r="V704" i="5" s="1"/>
  <c r="T746" i="5"/>
  <c r="N650" i="5"/>
  <c r="R719" i="5"/>
  <c r="U719" i="5"/>
  <c r="R751" i="5"/>
  <c r="U751" i="5"/>
  <c r="U602" i="5"/>
  <c r="V811" i="5"/>
  <c r="U324" i="5"/>
  <c r="R324" i="5"/>
  <c r="L578" i="5"/>
  <c r="V775" i="5"/>
  <c r="U667" i="5"/>
  <c r="V216" i="5"/>
  <c r="K620" i="5"/>
  <c r="U467" i="5"/>
  <c r="R467" i="5"/>
  <c r="K470" i="5"/>
  <c r="R149" i="5"/>
  <c r="U149" i="5"/>
  <c r="R455" i="5"/>
  <c r="K458" i="5"/>
  <c r="U455" i="5"/>
  <c r="V131" i="5"/>
  <c r="V65" i="5"/>
  <c r="R150" i="5"/>
  <c r="U150" i="5"/>
  <c r="L103" i="5"/>
  <c r="L104" i="5" s="1"/>
  <c r="K103" i="5"/>
  <c r="N104" i="5"/>
  <c r="M103" i="5"/>
  <c r="M104" i="5" s="1"/>
  <c r="K133" i="5"/>
  <c r="L133" i="5"/>
  <c r="L134" i="5" s="1"/>
  <c r="M133" i="5"/>
  <c r="M134" i="5" s="1"/>
  <c r="N134" i="5"/>
  <c r="R78" i="5"/>
  <c r="U78" i="5"/>
  <c r="L205" i="5"/>
  <c r="L206" i="5" s="1"/>
  <c r="K205" i="5"/>
  <c r="N206" i="5"/>
  <c r="M205" i="5"/>
  <c r="M206" i="5" s="1"/>
  <c r="T104" i="5"/>
  <c r="L937" i="5"/>
  <c r="L938" i="5" s="1"/>
  <c r="K937" i="5"/>
  <c r="N938" i="5"/>
  <c r="M937" i="5"/>
  <c r="M938" i="5" s="1"/>
  <c r="R973" i="5"/>
  <c r="U973" i="5"/>
  <c r="L799" i="5"/>
  <c r="L800" i="5" s="1"/>
  <c r="N800" i="5"/>
  <c r="M799" i="5"/>
  <c r="T800" i="5"/>
  <c r="K799" i="5"/>
  <c r="K800" i="5" s="1"/>
  <c r="L752" i="5"/>
  <c r="V776" i="5"/>
  <c r="R554" i="5"/>
  <c r="V551" i="5"/>
  <c r="M247" i="5"/>
  <c r="L247" i="5"/>
  <c r="L248" i="5" s="1"/>
  <c r="K247" i="5"/>
  <c r="N248" i="5"/>
  <c r="R906" i="5"/>
  <c r="U966" i="5"/>
  <c r="R966" i="5"/>
  <c r="V812" i="5"/>
  <c r="N968" i="5"/>
  <c r="M637" i="5"/>
  <c r="M638" i="5" s="1"/>
  <c r="L637" i="5"/>
  <c r="L638" i="5" s="1"/>
  <c r="K637" i="5"/>
  <c r="K638" i="5" s="1"/>
  <c r="V779" i="5"/>
  <c r="U636" i="5"/>
  <c r="R636" i="5"/>
  <c r="L722" i="5"/>
  <c r="L613" i="5"/>
  <c r="L614" i="5" s="1"/>
  <c r="K613" i="5"/>
  <c r="N614" i="5"/>
  <c r="M613" i="5"/>
  <c r="M614" i="5" s="1"/>
  <c r="R686" i="5"/>
  <c r="U635" i="5"/>
  <c r="R635" i="5"/>
  <c r="R672" i="5"/>
  <c r="U672" i="5"/>
  <c r="U593" i="5"/>
  <c r="R593" i="5"/>
  <c r="M560" i="5"/>
  <c r="N518" i="5"/>
  <c r="M517" i="5"/>
  <c r="M518" i="5" s="1"/>
  <c r="L517" i="5"/>
  <c r="L518" i="5" s="1"/>
  <c r="K517" i="5"/>
  <c r="T518" i="5"/>
  <c r="M578" i="5"/>
  <c r="K235" i="5"/>
  <c r="N236" i="5"/>
  <c r="L235" i="5"/>
  <c r="M235" i="5"/>
  <c r="M236" i="5" s="1"/>
  <c r="V539" i="5"/>
  <c r="V162" i="5"/>
  <c r="R179" i="5"/>
  <c r="U179" i="5"/>
  <c r="M289" i="5"/>
  <c r="M290" i="5" s="1"/>
  <c r="L289" i="5"/>
  <c r="L290" i="5" s="1"/>
  <c r="K289" i="5"/>
  <c r="N290" i="5"/>
  <c r="T236" i="5"/>
  <c r="R119" i="5"/>
  <c r="U119" i="5"/>
  <c r="K79" i="5"/>
  <c r="M79" i="5"/>
  <c r="M80" i="5" s="1"/>
  <c r="L79" i="5"/>
  <c r="L80" i="5" s="1"/>
  <c r="N80" i="5"/>
  <c r="R42" i="5"/>
  <c r="U42" i="5"/>
  <c r="M493" i="5"/>
  <c r="M494" i="5" s="1"/>
  <c r="K493" i="5"/>
  <c r="N494" i="5"/>
  <c r="L493" i="5"/>
  <c r="L494" i="5" s="1"/>
  <c r="U257" i="5"/>
  <c r="R257" i="5"/>
  <c r="V354" i="5"/>
  <c r="R203" i="5"/>
  <c r="U49" i="5"/>
  <c r="R86" i="5"/>
  <c r="V86" i="5" s="1"/>
  <c r="R848" i="5"/>
  <c r="V846" i="5"/>
  <c r="N638" i="5"/>
  <c r="N260" i="5"/>
  <c r="U864" i="5"/>
  <c r="R864" i="5"/>
  <c r="R977" i="5"/>
  <c r="K980" i="5"/>
  <c r="U977" i="5"/>
  <c r="U1015" i="5"/>
  <c r="U1016" i="5" s="1"/>
  <c r="R1015" i="5"/>
  <c r="V511" i="5"/>
  <c r="R512" i="5"/>
  <c r="V512" i="5" s="1"/>
  <c r="U815" i="5"/>
  <c r="K818" i="5"/>
  <c r="R815" i="5"/>
  <c r="V875" i="5"/>
  <c r="U792" i="5"/>
  <c r="R792" i="5"/>
  <c r="V601" i="5"/>
  <c r="R726" i="5"/>
  <c r="V726" i="5" s="1"/>
  <c r="M722" i="5"/>
  <c r="K415" i="5"/>
  <c r="N416" i="5"/>
  <c r="M415" i="5"/>
  <c r="M416" i="5" s="1"/>
  <c r="L415" i="5"/>
  <c r="L416" i="5" s="1"/>
  <c r="U234" i="5"/>
  <c r="V234" i="5" s="1"/>
  <c r="V161" i="5"/>
  <c r="R648" i="5"/>
  <c r="U648" i="5"/>
  <c r="U522" i="5"/>
  <c r="R522" i="5"/>
  <c r="T248" i="5"/>
  <c r="N332" i="5"/>
  <c r="K230" i="5"/>
  <c r="U227" i="5"/>
  <c r="R227" i="5"/>
  <c r="U163" i="5"/>
  <c r="U164" i="5" s="1"/>
  <c r="R163" i="5"/>
  <c r="R164" i="5" s="1"/>
  <c r="K164" i="5"/>
  <c r="N224" i="5"/>
  <c r="M223" i="5"/>
  <c r="M224" i="5" s="1"/>
  <c r="L223" i="5"/>
  <c r="L224" i="5" s="1"/>
  <c r="K223" i="5"/>
  <c r="T224" i="5"/>
  <c r="R114" i="5"/>
  <c r="U114" i="5"/>
  <c r="V565" i="5"/>
  <c r="L458" i="5"/>
  <c r="V379" i="5"/>
  <c r="V191" i="5"/>
  <c r="R41" i="5"/>
  <c r="U41" i="5"/>
  <c r="R491" i="5"/>
  <c r="R558" i="5"/>
  <c r="U558" i="5"/>
  <c r="U521" i="5"/>
  <c r="R521" i="5"/>
  <c r="U203" i="5"/>
  <c r="R330" i="5"/>
  <c r="U330" i="5"/>
  <c r="U139" i="5"/>
  <c r="V713" i="5"/>
  <c r="V540" i="5"/>
  <c r="R456" i="5"/>
  <c r="U456" i="5"/>
  <c r="K43" i="5"/>
  <c r="K44" i="5" s="1"/>
  <c r="M43" i="5"/>
  <c r="M44" i="5" s="1"/>
  <c r="L43" i="5"/>
  <c r="L44" i="5" s="1"/>
  <c r="R155" i="5"/>
  <c r="U798" i="5"/>
  <c r="R798" i="5"/>
  <c r="K668" i="5"/>
  <c r="U665" i="5"/>
  <c r="R665" i="5"/>
  <c r="N626" i="5"/>
  <c r="M625" i="5"/>
  <c r="M626" i="5" s="1"/>
  <c r="L625" i="5"/>
  <c r="L626" i="5" s="1"/>
  <c r="K625" i="5"/>
  <c r="V221" i="5"/>
  <c r="R180" i="5"/>
  <c r="U180" i="5"/>
  <c r="L919" i="5"/>
  <c r="L920" i="5" s="1"/>
  <c r="K919" i="5"/>
  <c r="N920" i="5"/>
  <c r="M919" i="5"/>
  <c r="M920" i="5" s="1"/>
  <c r="T920" i="5"/>
  <c r="R905" i="5"/>
  <c r="U905" i="5"/>
  <c r="V992" i="5"/>
  <c r="V991" i="5"/>
  <c r="N974" i="5"/>
  <c r="R881" i="5"/>
  <c r="K884" i="5"/>
  <c r="U881" i="5"/>
  <c r="U884" i="5" s="1"/>
  <c r="V983" i="5"/>
  <c r="M997" i="5"/>
  <c r="M998" i="5" s="1"/>
  <c r="L997" i="5"/>
  <c r="L998" i="5" s="1"/>
  <c r="K997" i="5"/>
  <c r="R918" i="5"/>
  <c r="V853" i="5"/>
  <c r="R854" i="5"/>
  <c r="V854" i="5" s="1"/>
  <c r="U714" i="5"/>
  <c r="L668" i="5"/>
  <c r="N806" i="5"/>
  <c r="L805" i="5"/>
  <c r="L806" i="5" s="1"/>
  <c r="K805" i="5"/>
  <c r="M805" i="5"/>
  <c r="M806" i="5" s="1"/>
  <c r="T806" i="5"/>
  <c r="R764" i="5"/>
  <c r="V764" i="5" s="1"/>
  <c r="V841" i="5"/>
  <c r="U594" i="5"/>
  <c r="R594" i="5"/>
  <c r="L655" i="5"/>
  <c r="L656" i="5" s="1"/>
  <c r="K655" i="5"/>
  <c r="N656" i="5"/>
  <c r="M655" i="5"/>
  <c r="M656" i="5" s="1"/>
  <c r="M596" i="5"/>
  <c r="L679" i="5"/>
  <c r="L680" i="5" s="1"/>
  <c r="K679" i="5"/>
  <c r="T680" i="5"/>
  <c r="M679" i="5"/>
  <c r="M680" i="5" s="1"/>
  <c r="N680" i="5"/>
  <c r="R576" i="5"/>
  <c r="U576" i="5"/>
  <c r="N560" i="5"/>
  <c r="N218" i="5"/>
  <c r="T218" i="5"/>
  <c r="M215" i="5"/>
  <c r="L215" i="5"/>
  <c r="K215" i="5"/>
  <c r="N674" i="5"/>
  <c r="R589" i="5"/>
  <c r="U589" i="5"/>
  <c r="K590" i="5"/>
  <c r="N578" i="5"/>
  <c r="U414" i="5"/>
  <c r="L236" i="5"/>
  <c r="U233" i="5"/>
  <c r="T158" i="5"/>
  <c r="K326" i="5"/>
  <c r="R468" i="5"/>
  <c r="V468" i="5" s="1"/>
  <c r="O50" i="5"/>
  <c r="T1026" i="5"/>
  <c r="L470" i="5"/>
  <c r="R204" i="5"/>
  <c r="U127" i="5"/>
  <c r="M458" i="5"/>
  <c r="K55" i="5"/>
  <c r="L55" i="5"/>
  <c r="M55" i="5"/>
  <c r="M56" i="5" s="1"/>
  <c r="L524" i="5"/>
  <c r="U174" i="5"/>
  <c r="V174" i="5" s="1"/>
  <c r="N200" i="5"/>
  <c r="R198" i="5"/>
  <c r="U198" i="5"/>
  <c r="T1025" i="5"/>
  <c r="K128" i="5"/>
  <c r="U125" i="5"/>
  <c r="R125" i="5"/>
  <c r="N998" i="5"/>
  <c r="R743" i="5"/>
  <c r="N794" i="5"/>
  <c r="M793" i="5"/>
  <c r="M794" i="5" s="1"/>
  <c r="L793" i="5"/>
  <c r="L794" i="5" s="1"/>
  <c r="K793" i="5"/>
  <c r="U559" i="5"/>
  <c r="R329" i="5"/>
  <c r="U329" i="5"/>
  <c r="V923" i="5"/>
  <c r="L1016" i="5"/>
  <c r="R978" i="5"/>
  <c r="U978" i="5"/>
  <c r="N980" i="5"/>
  <c r="U1009" i="5"/>
  <c r="U1010" i="5" s="1"/>
  <c r="R1009" i="5"/>
  <c r="U929" i="5"/>
  <c r="U932" i="5" s="1"/>
  <c r="N734" i="5"/>
  <c r="M733" i="5"/>
  <c r="M734" i="5" s="1"/>
  <c r="L733" i="5"/>
  <c r="L734" i="5" s="1"/>
  <c r="K733" i="5"/>
  <c r="T734" i="5"/>
  <c r="L727" i="5"/>
  <c r="L728" i="5" s="1"/>
  <c r="K727" i="5"/>
  <c r="N728" i="5"/>
  <c r="M727" i="5"/>
  <c r="M728" i="5" s="1"/>
  <c r="T938" i="5"/>
  <c r="K1010" i="5"/>
  <c r="M902" i="5"/>
  <c r="U899" i="5"/>
  <c r="U870" i="5"/>
  <c r="R870" i="5"/>
  <c r="N902" i="5"/>
  <c r="R899" i="5"/>
  <c r="L907" i="5"/>
  <c r="L908" i="5" s="1"/>
  <c r="K907" i="5"/>
  <c r="K908" i="5" s="1"/>
  <c r="M907" i="5"/>
  <c r="M908" i="5" s="1"/>
  <c r="V858" i="5"/>
  <c r="R995" i="5"/>
  <c r="U871" i="5"/>
  <c r="V857" i="5"/>
  <c r="R860" i="5"/>
  <c r="M800" i="5"/>
  <c r="U797" i="5"/>
  <c r="R750" i="5"/>
  <c r="U750" i="5"/>
  <c r="R725" i="5"/>
  <c r="R720" i="5"/>
  <c r="U720" i="5"/>
  <c r="R647" i="5"/>
  <c r="U647" i="5"/>
  <c r="R836" i="5"/>
  <c r="V836" i="5" s="1"/>
  <c r="N722" i="5"/>
  <c r="T638" i="5"/>
  <c r="K710" i="5"/>
  <c r="R709" i="5"/>
  <c r="K548" i="5"/>
  <c r="L194" i="5"/>
  <c r="R192" i="5"/>
  <c r="V192" i="5" s="1"/>
  <c r="U661" i="5"/>
  <c r="U662" i="5" s="1"/>
  <c r="R661" i="5"/>
  <c r="M248" i="5"/>
  <c r="V439" i="5"/>
  <c r="N314" i="5"/>
  <c r="M313" i="5"/>
  <c r="M314" i="5" s="1"/>
  <c r="L313" i="5"/>
  <c r="L314" i="5" s="1"/>
  <c r="K313" i="5"/>
  <c r="T314" i="5"/>
  <c r="M175" i="5"/>
  <c r="L175" i="5"/>
  <c r="K175" i="5"/>
  <c r="M259" i="5"/>
  <c r="M260" i="5" s="1"/>
  <c r="L259" i="5"/>
  <c r="L260" i="5" s="1"/>
  <c r="K259" i="5"/>
  <c r="K260" i="5" s="1"/>
  <c r="T44" i="5"/>
  <c r="N470" i="5"/>
  <c r="U258" i="5"/>
  <c r="R258" i="5"/>
  <c r="U126" i="5"/>
  <c r="R126" i="5"/>
  <c r="V73" i="5"/>
  <c r="N152" i="5"/>
  <c r="R547" i="5"/>
  <c r="V547" i="5" s="1"/>
  <c r="N458" i="5"/>
  <c r="R374" i="5"/>
  <c r="V374" i="5" s="1"/>
  <c r="V367" i="5"/>
  <c r="U245" i="5"/>
  <c r="V245" i="5" s="1"/>
  <c r="M524" i="5"/>
  <c r="T260" i="5"/>
  <c r="U53" i="5"/>
  <c r="L56" i="5"/>
  <c r="N116" i="5"/>
  <c r="T116" i="5"/>
  <c r="L427" i="5"/>
  <c r="L428" i="5" s="1"/>
  <c r="K427" i="5"/>
  <c r="M427" i="5"/>
  <c r="M428" i="5" s="1"/>
  <c r="N428" i="5"/>
  <c r="U469" i="5"/>
  <c r="L128" i="5"/>
  <c r="T68" i="5"/>
  <c r="R53" i="5"/>
  <c r="V996" i="5" l="1"/>
  <c r="R944" i="5"/>
  <c r="R926" i="5"/>
  <c r="V926" i="5" s="1"/>
  <c r="V882" i="5"/>
  <c r="V828" i="5"/>
  <c r="R788" i="5"/>
  <c r="V708" i="5"/>
  <c r="V667" i="5"/>
  <c r="V661" i="5"/>
  <c r="V492" i="5"/>
  <c r="V480" i="5"/>
  <c r="V445" i="5"/>
  <c r="V437" i="5"/>
  <c r="U434" i="5"/>
  <c r="V432" i="5"/>
  <c r="U325" i="5"/>
  <c r="U326" i="5" s="1"/>
  <c r="U686" i="5"/>
  <c r="V918" i="5"/>
  <c r="U440" i="5"/>
  <c r="R572" i="5"/>
  <c r="L218" i="5"/>
  <c r="R325" i="5"/>
  <c r="V325" i="5" s="1"/>
  <c r="U788" i="5"/>
  <c r="V77" i="5"/>
  <c r="V744" i="5"/>
  <c r="V570" i="5"/>
  <c r="U457" i="5"/>
  <c r="U715" i="5"/>
  <c r="R127" i="5"/>
  <c r="R128" i="5" s="1"/>
  <c r="V128" i="5" s="1"/>
  <c r="V984" i="5"/>
  <c r="U548" i="5"/>
  <c r="U878" i="5"/>
  <c r="V924" i="5"/>
  <c r="V584" i="5"/>
  <c r="V785" i="5"/>
  <c r="V941" i="5"/>
  <c r="V102" i="5"/>
  <c r="V877" i="5"/>
  <c r="U380" i="5"/>
  <c r="O151" i="5"/>
  <c r="O152" i="5" s="1"/>
  <c r="C154" i="5"/>
  <c r="C160" i="5" s="1"/>
  <c r="C172" i="5" s="1"/>
  <c r="L151" i="5"/>
  <c r="L152" i="5" s="1"/>
  <c r="U818" i="5"/>
  <c r="R434" i="5"/>
  <c r="V434" i="5" s="1"/>
  <c r="V816" i="5"/>
  <c r="R878" i="5"/>
  <c r="V414" i="5"/>
  <c r="R380" i="5"/>
  <c r="V365" i="5"/>
  <c r="V204" i="5"/>
  <c r="V193" i="5"/>
  <c r="V138" i="5"/>
  <c r="V54" i="5"/>
  <c r="V860" i="5"/>
  <c r="L716" i="5"/>
  <c r="R967" i="5"/>
  <c r="R968" i="5" s="1"/>
  <c r="V804" i="5"/>
  <c r="V911" i="5"/>
  <c r="V425" i="5"/>
  <c r="V876" i="5"/>
  <c r="K122" i="5"/>
  <c r="U151" i="5"/>
  <c r="R457" i="5"/>
  <c r="V457" i="5" s="1"/>
  <c r="V803" i="5"/>
  <c r="V120" i="5"/>
  <c r="U619" i="5"/>
  <c r="U620" i="5" s="1"/>
  <c r="R715" i="5"/>
  <c r="R716" i="5" s="1"/>
  <c r="V366" i="5"/>
  <c r="V156" i="5"/>
  <c r="U902" i="5"/>
  <c r="V377" i="5"/>
  <c r="R199" i="5"/>
  <c r="R200" i="5" s="1"/>
  <c r="V888" i="5"/>
  <c r="V889" i="5"/>
  <c r="V546" i="5"/>
  <c r="R446" i="5"/>
  <c r="V446" i="5" s="1"/>
  <c r="R619" i="5"/>
  <c r="R620" i="5" s="1"/>
  <c r="V901" i="5"/>
  <c r="R121" i="5"/>
  <c r="V121" i="5" s="1"/>
  <c r="U673" i="5"/>
  <c r="U674" i="5" s="1"/>
  <c r="K200" i="5"/>
  <c r="U181" i="5"/>
  <c r="V554" i="5"/>
  <c r="R890" i="5"/>
  <c r="R482" i="5"/>
  <c r="U595" i="5"/>
  <c r="V767" i="5"/>
  <c r="L230" i="5"/>
  <c r="U577" i="5"/>
  <c r="V577" i="5" s="1"/>
  <c r="V906" i="5"/>
  <c r="U229" i="5"/>
  <c r="V229" i="5" s="1"/>
  <c r="V281" i="5"/>
  <c r="R673" i="5"/>
  <c r="R331" i="5"/>
  <c r="R332" i="5" s="1"/>
  <c r="U331" i="5"/>
  <c r="U332" i="5" s="1"/>
  <c r="R151" i="5"/>
  <c r="U668" i="5"/>
  <c r="K578" i="5"/>
  <c r="V479" i="5"/>
  <c r="V456" i="5"/>
  <c r="V139" i="5"/>
  <c r="R595" i="5"/>
  <c r="R596" i="5" s="1"/>
  <c r="R49" i="5"/>
  <c r="V49" i="5" s="1"/>
  <c r="U721" i="5"/>
  <c r="U722" i="5" s="1"/>
  <c r="R721" i="5"/>
  <c r="R722" i="5" s="1"/>
  <c r="V469" i="5"/>
  <c r="V558" i="5"/>
  <c r="U523" i="5"/>
  <c r="V523" i="5" s="1"/>
  <c r="U590" i="5"/>
  <c r="V17" i="5"/>
  <c r="R20" i="5"/>
  <c r="V20" i="5" s="1"/>
  <c r="R649" i="5"/>
  <c r="U649" i="5"/>
  <c r="U650" i="5" s="1"/>
  <c r="V258" i="5"/>
  <c r="M218" i="5"/>
  <c r="U967" i="5"/>
  <c r="U968" i="5" s="1"/>
  <c r="V966" i="5"/>
  <c r="K968" i="5"/>
  <c r="I1024" i="5"/>
  <c r="J137" i="5"/>
  <c r="T137" i="5" s="1"/>
  <c r="O137" i="5" s="1"/>
  <c r="I140" i="5"/>
  <c r="I1027" i="5" s="1"/>
  <c r="P1026" i="5"/>
  <c r="U890" i="5"/>
  <c r="R181" i="5"/>
  <c r="V181" i="5" s="1"/>
  <c r="P1033" i="5"/>
  <c r="U709" i="5"/>
  <c r="U710" i="5" s="1"/>
  <c r="U979" i="5"/>
  <c r="U122" i="5"/>
  <c r="V571" i="5"/>
  <c r="R979" i="5"/>
  <c r="R980" i="5" s="1"/>
  <c r="R43" i="5"/>
  <c r="R44" i="5" s="1"/>
  <c r="K722" i="5"/>
  <c r="R559" i="5"/>
  <c r="V559" i="5" s="1"/>
  <c r="V870" i="5"/>
  <c r="V848" i="5"/>
  <c r="U482" i="5"/>
  <c r="V413" i="5"/>
  <c r="U572" i="5"/>
  <c r="U199" i="5"/>
  <c r="V978" i="5"/>
  <c r="V973" i="5"/>
  <c r="V944" i="5"/>
  <c r="V912" i="5"/>
  <c r="V792" i="5"/>
  <c r="V750" i="5"/>
  <c r="V672" i="5"/>
  <c r="R662" i="5"/>
  <c r="V662" i="5" s="1"/>
  <c r="V648" i="5"/>
  <c r="V522" i="5"/>
  <c r="U524" i="5"/>
  <c r="V368" i="5"/>
  <c r="R326" i="5"/>
  <c r="U194" i="5"/>
  <c r="V180" i="5"/>
  <c r="U182" i="5"/>
  <c r="V163" i="5"/>
  <c r="V150" i="5"/>
  <c r="U128" i="5"/>
  <c r="V126" i="5"/>
  <c r="V114" i="5"/>
  <c r="U919" i="5"/>
  <c r="U920" i="5" s="1"/>
  <c r="R919" i="5"/>
  <c r="R920" i="5" s="1"/>
  <c r="K920" i="5"/>
  <c r="N1033" i="5"/>
  <c r="N44" i="5"/>
  <c r="V164" i="5"/>
  <c r="U493" i="5"/>
  <c r="U494" i="5" s="1"/>
  <c r="K494" i="5"/>
  <c r="R493" i="5"/>
  <c r="R494" i="5" s="1"/>
  <c r="U79" i="5"/>
  <c r="U80" i="5" s="1"/>
  <c r="R79" i="5"/>
  <c r="K80" i="5"/>
  <c r="R752" i="5"/>
  <c r="V749" i="5"/>
  <c r="V671" i="5"/>
  <c r="V863" i="5"/>
  <c r="V995" i="5"/>
  <c r="U733" i="5"/>
  <c r="U734" i="5" s="1"/>
  <c r="K734" i="5"/>
  <c r="R733" i="5"/>
  <c r="V329" i="5"/>
  <c r="V743" i="5"/>
  <c r="V125" i="5"/>
  <c r="U215" i="5"/>
  <c r="K218" i="5"/>
  <c r="R215" i="5"/>
  <c r="V576" i="5"/>
  <c r="V798" i="5"/>
  <c r="N176" i="5"/>
  <c r="V330" i="5"/>
  <c r="V491" i="5"/>
  <c r="V1015" i="5"/>
  <c r="U247" i="5"/>
  <c r="U248" i="5" s="1"/>
  <c r="K248" i="5"/>
  <c r="R247" i="5"/>
  <c r="V78" i="5"/>
  <c r="U103" i="5"/>
  <c r="U104" i="5" s="1"/>
  <c r="R103" i="5"/>
  <c r="K104" i="5"/>
  <c r="U745" i="5"/>
  <c r="U746" i="5" s="1"/>
  <c r="R745" i="5"/>
  <c r="K746" i="5"/>
  <c r="V935" i="5"/>
  <c r="R710" i="5"/>
  <c r="U50" i="5"/>
  <c r="U541" i="5"/>
  <c r="U542" i="5" s="1"/>
  <c r="K542" i="5"/>
  <c r="R541" i="5"/>
  <c r="U560" i="5"/>
  <c r="U691" i="5"/>
  <c r="U692" i="5" s="1"/>
  <c r="R691" i="5"/>
  <c r="K692" i="5"/>
  <c r="U781" i="5"/>
  <c r="U782" i="5" s="1"/>
  <c r="R781" i="5"/>
  <c r="K782" i="5"/>
  <c r="U985" i="5"/>
  <c r="U986" i="5" s="1"/>
  <c r="K986" i="5"/>
  <c r="R985" i="5"/>
  <c r="U97" i="5"/>
  <c r="U98" i="5" s="1"/>
  <c r="K98" i="5"/>
  <c r="R97" i="5"/>
  <c r="V647" i="5"/>
  <c r="V41" i="5"/>
  <c r="U980" i="5"/>
  <c r="V42" i="5"/>
  <c r="V119" i="5"/>
  <c r="U235" i="5"/>
  <c r="U236" i="5" s="1"/>
  <c r="R235" i="5"/>
  <c r="K236" i="5"/>
  <c r="V635" i="5"/>
  <c r="U637" i="5"/>
  <c r="U638" i="5" s="1"/>
  <c r="R637" i="5"/>
  <c r="V440" i="5"/>
  <c r="V751" i="5"/>
  <c r="U769" i="5"/>
  <c r="U770" i="5" s="1"/>
  <c r="R769" i="5"/>
  <c r="K770" i="5"/>
  <c r="V972" i="5"/>
  <c r="U974" i="5"/>
  <c r="V48" i="5"/>
  <c r="R50" i="5"/>
  <c r="V47" i="5"/>
  <c r="U578" i="5"/>
  <c r="V557" i="5"/>
  <c r="V791" i="5"/>
  <c r="U997" i="5"/>
  <c r="U998" i="5" s="1"/>
  <c r="R997" i="5"/>
  <c r="K998" i="5"/>
  <c r="R884" i="5"/>
  <c r="V884" i="5" s="1"/>
  <c r="V881" i="5"/>
  <c r="V155" i="5"/>
  <c r="R524" i="5"/>
  <c r="V521" i="5"/>
  <c r="V815" i="5"/>
  <c r="R818" i="5"/>
  <c r="V203" i="5"/>
  <c r="U799" i="5"/>
  <c r="U800" i="5" s="1"/>
  <c r="R799" i="5"/>
  <c r="V324" i="5"/>
  <c r="V714" i="5"/>
  <c r="R974" i="5"/>
  <c r="V971" i="5"/>
  <c r="V666" i="5"/>
  <c r="R1016" i="5"/>
  <c r="V1016" i="5" s="1"/>
  <c r="V965" i="5"/>
  <c r="R872" i="5"/>
  <c r="V869" i="5"/>
  <c r="V899" i="5"/>
  <c r="R902" i="5"/>
  <c r="K806" i="5"/>
  <c r="U805" i="5"/>
  <c r="U806" i="5" s="1"/>
  <c r="R805" i="5"/>
  <c r="U427" i="5"/>
  <c r="U428" i="5" s="1"/>
  <c r="R427" i="5"/>
  <c r="K428" i="5"/>
  <c r="U907" i="5"/>
  <c r="U908" i="5" s="1"/>
  <c r="R907" i="5"/>
  <c r="U793" i="5"/>
  <c r="U794" i="5" s="1"/>
  <c r="R793" i="5"/>
  <c r="U655" i="5"/>
  <c r="U656" i="5" s="1"/>
  <c r="K656" i="5"/>
  <c r="R655" i="5"/>
  <c r="V977" i="5"/>
  <c r="U133" i="5"/>
  <c r="U134" i="5" s="1"/>
  <c r="R133" i="5"/>
  <c r="K134" i="5"/>
  <c r="U458" i="5"/>
  <c r="V929" i="5"/>
  <c r="R932" i="5"/>
  <c r="V932" i="5" s="1"/>
  <c r="R578" i="5"/>
  <c r="V575" i="5"/>
  <c r="R548" i="5"/>
  <c r="V545" i="5"/>
  <c r="K794" i="5"/>
  <c r="U55" i="5"/>
  <c r="U56" i="5" s="1"/>
  <c r="R55" i="5"/>
  <c r="K56" i="5"/>
  <c r="V905" i="5"/>
  <c r="U625" i="5"/>
  <c r="U626" i="5" s="1"/>
  <c r="R625" i="5"/>
  <c r="K626" i="5"/>
  <c r="V257" i="5"/>
  <c r="U613" i="5"/>
  <c r="U614" i="5" s="1"/>
  <c r="K614" i="5"/>
  <c r="R613" i="5"/>
  <c r="U283" i="5"/>
  <c r="U284" i="5" s="1"/>
  <c r="K284" i="5"/>
  <c r="R283" i="5"/>
  <c r="V53" i="5"/>
  <c r="U313" i="5"/>
  <c r="U314" i="5" s="1"/>
  <c r="K314" i="5"/>
  <c r="R313" i="5"/>
  <c r="V720" i="5"/>
  <c r="U727" i="5"/>
  <c r="U728" i="5" s="1"/>
  <c r="K728" i="5"/>
  <c r="R727" i="5"/>
  <c r="V1009" i="5"/>
  <c r="R1010" i="5"/>
  <c r="V1010" i="5" s="1"/>
  <c r="V198" i="5"/>
  <c r="R668" i="5"/>
  <c r="V665" i="5"/>
  <c r="N1031" i="5"/>
  <c r="K224" i="5"/>
  <c r="U223" i="5"/>
  <c r="U224" i="5" s="1"/>
  <c r="R223" i="5"/>
  <c r="V864" i="5"/>
  <c r="U517" i="5"/>
  <c r="U518" i="5" s="1"/>
  <c r="K518" i="5"/>
  <c r="R517" i="5"/>
  <c r="V593" i="5"/>
  <c r="V587" i="5"/>
  <c r="U937" i="5"/>
  <c r="U938" i="5" s="1"/>
  <c r="R937" i="5"/>
  <c r="K938" i="5"/>
  <c r="U205" i="5"/>
  <c r="U206" i="5" s="1"/>
  <c r="K206" i="5"/>
  <c r="R205" i="5"/>
  <c r="R470" i="5"/>
  <c r="V467" i="5"/>
  <c r="V719" i="5"/>
  <c r="U355" i="5"/>
  <c r="U356" i="5" s="1"/>
  <c r="R355" i="5"/>
  <c r="K356" i="5"/>
  <c r="V197" i="5"/>
  <c r="V602" i="5"/>
  <c r="U914" i="5"/>
  <c r="V228" i="5"/>
  <c r="U872" i="5"/>
  <c r="V481" i="5"/>
  <c r="U259" i="5"/>
  <c r="U260" i="5" s="1"/>
  <c r="R259" i="5"/>
  <c r="V259" i="5" s="1"/>
  <c r="R152" i="5"/>
  <c r="V149" i="5"/>
  <c r="U175" i="5"/>
  <c r="R175" i="5"/>
  <c r="V725" i="5"/>
  <c r="R914" i="5"/>
  <c r="V589" i="5"/>
  <c r="U679" i="5"/>
  <c r="U680" i="5" s="1"/>
  <c r="K680" i="5"/>
  <c r="R679" i="5"/>
  <c r="V594" i="5"/>
  <c r="V797" i="5"/>
  <c r="U43" i="5"/>
  <c r="R194" i="5"/>
  <c r="R230" i="5"/>
  <c r="V227" i="5"/>
  <c r="U415" i="5"/>
  <c r="U416" i="5" s="1"/>
  <c r="R415" i="5"/>
  <c r="K416" i="5"/>
  <c r="U289" i="5"/>
  <c r="U290" i="5" s="1"/>
  <c r="R289" i="5"/>
  <c r="K290" i="5"/>
  <c r="V179" i="5"/>
  <c r="V686" i="5"/>
  <c r="V636" i="5"/>
  <c r="R590" i="5"/>
  <c r="V455" i="5"/>
  <c r="U470" i="5"/>
  <c r="U829" i="5"/>
  <c r="U830" i="5" s="1"/>
  <c r="R829" i="5"/>
  <c r="K830" i="5"/>
  <c r="V871" i="5"/>
  <c r="U752" i="5"/>
  <c r="V787" i="5"/>
  <c r="U217" i="5"/>
  <c r="R217" i="5"/>
  <c r="U157" i="5"/>
  <c r="U158" i="5" s="1"/>
  <c r="K158" i="5"/>
  <c r="R157" i="5"/>
  <c r="U865" i="5"/>
  <c r="U866" i="5" s="1"/>
  <c r="R865" i="5"/>
  <c r="R866" i="5" s="1"/>
  <c r="V233" i="5"/>
  <c r="V967" i="5" l="1"/>
  <c r="V902" i="5"/>
  <c r="V878" i="5"/>
  <c r="V818" i="5"/>
  <c r="V788" i="5"/>
  <c r="V715" i="5"/>
  <c r="U716" i="5"/>
  <c r="V716" i="5" s="1"/>
  <c r="V668" i="5"/>
  <c r="V620" i="5"/>
  <c r="V572" i="5"/>
  <c r="V673" i="5"/>
  <c r="V127" i="5"/>
  <c r="O173" i="5"/>
  <c r="O176" i="5" s="1"/>
  <c r="K173" i="5"/>
  <c r="C178" i="5"/>
  <c r="M173" i="5"/>
  <c r="M176" i="5" s="1"/>
  <c r="L173" i="5"/>
  <c r="L176" i="5" s="1"/>
  <c r="V326" i="5"/>
  <c r="V380" i="5"/>
  <c r="V595" i="5"/>
  <c r="V590" i="5"/>
  <c r="V548" i="5"/>
  <c r="R560" i="5"/>
  <c r="V619" i="5"/>
  <c r="R182" i="5"/>
  <c r="V182" i="5" s="1"/>
  <c r="V151" i="5"/>
  <c r="U152" i="5"/>
  <c r="V152" i="5" s="1"/>
  <c r="R122" i="5"/>
  <c r="V122" i="5" s="1"/>
  <c r="V482" i="5"/>
  <c r="R674" i="5"/>
  <c r="V674" i="5" s="1"/>
  <c r="U230" i="5"/>
  <c r="V230" i="5" s="1"/>
  <c r="R458" i="5"/>
  <c r="V458" i="5" s="1"/>
  <c r="V199" i="5"/>
  <c r="V890" i="5"/>
  <c r="U596" i="5"/>
  <c r="V596" i="5" s="1"/>
  <c r="U200" i="5"/>
  <c r="V200" i="5" s="1"/>
  <c r="V649" i="5"/>
  <c r="N1027" i="5"/>
  <c r="V997" i="5"/>
  <c r="V637" i="5"/>
  <c r="V709" i="5"/>
  <c r="V331" i="5"/>
  <c r="V907" i="5"/>
  <c r="V979" i="5"/>
  <c r="J140" i="5"/>
  <c r="J1027" i="5" s="1"/>
  <c r="J1024" i="5"/>
  <c r="V937" i="5"/>
  <c r="V710" i="5"/>
  <c r="V721" i="5"/>
  <c r="V217" i="5"/>
  <c r="P137" i="5"/>
  <c r="T140" i="5"/>
  <c r="T1027" i="5" s="1"/>
  <c r="L137" i="5"/>
  <c r="T1024" i="5"/>
  <c r="M137" i="5"/>
  <c r="K137" i="5"/>
  <c r="V727" i="5"/>
  <c r="R650" i="5"/>
  <c r="V650" i="5" s="1"/>
  <c r="V980" i="5"/>
  <c r="V920" i="5"/>
  <c r="V914" i="5"/>
  <c r="R908" i="5"/>
  <c r="V908" i="5" s="1"/>
  <c r="V793" i="5"/>
  <c r="V752" i="5"/>
  <c r="V745" i="5"/>
  <c r="R728" i="5"/>
  <c r="V728" i="5" s="1"/>
  <c r="V722" i="5"/>
  <c r="V578" i="5"/>
  <c r="V560" i="5"/>
  <c r="V524" i="5"/>
  <c r="V494" i="5"/>
  <c r="V493" i="5"/>
  <c r="V470" i="5"/>
  <c r="V205" i="5"/>
  <c r="V194" i="5"/>
  <c r="V175" i="5"/>
  <c r="V157" i="5"/>
  <c r="V55" i="5"/>
  <c r="V50" i="5"/>
  <c r="N1034" i="5"/>
  <c r="P1031" i="5"/>
  <c r="P1034" i="5" s="1"/>
  <c r="V866" i="5"/>
  <c r="V872" i="5"/>
  <c r="V781" i="5"/>
  <c r="R782" i="5"/>
  <c r="V782" i="5" s="1"/>
  <c r="V79" i="5"/>
  <c r="R80" i="5"/>
  <c r="V80" i="5" s="1"/>
  <c r="V427" i="5"/>
  <c r="R428" i="5"/>
  <c r="V428" i="5" s="1"/>
  <c r="U44" i="5"/>
  <c r="V625" i="5"/>
  <c r="R626" i="5"/>
  <c r="V626" i="5" s="1"/>
  <c r="R746" i="5"/>
  <c r="V746" i="5" s="1"/>
  <c r="V805" i="5"/>
  <c r="R806" i="5"/>
  <c r="V806" i="5" s="1"/>
  <c r="R794" i="5"/>
  <c r="V794" i="5" s="1"/>
  <c r="V103" i="5"/>
  <c r="R104" i="5"/>
  <c r="V104" i="5" s="1"/>
  <c r="U218" i="5"/>
  <c r="V332" i="5"/>
  <c r="V829" i="5"/>
  <c r="R830" i="5"/>
  <c r="V830" i="5" s="1"/>
  <c r="V968" i="5"/>
  <c r="V974" i="5"/>
  <c r="R206" i="5"/>
  <c r="V206" i="5" s="1"/>
  <c r="R158" i="5"/>
  <c r="V158" i="5" s="1"/>
  <c r="R638" i="5"/>
  <c r="V638" i="5" s="1"/>
  <c r="V733" i="5"/>
  <c r="R734" i="5"/>
  <c r="V734" i="5" s="1"/>
  <c r="V613" i="5"/>
  <c r="R614" i="5"/>
  <c r="V614" i="5" s="1"/>
  <c r="V215" i="5"/>
  <c r="R218" i="5"/>
  <c r="V679" i="5"/>
  <c r="R680" i="5"/>
  <c r="V680" i="5" s="1"/>
  <c r="R56" i="5"/>
  <c r="V56" i="5" s="1"/>
  <c r="V769" i="5"/>
  <c r="R770" i="5"/>
  <c r="V770" i="5" s="1"/>
  <c r="V691" i="5"/>
  <c r="R692" i="5"/>
  <c r="V692" i="5" s="1"/>
  <c r="V919" i="5"/>
  <c r="V313" i="5"/>
  <c r="R314" i="5"/>
  <c r="V314" i="5" s="1"/>
  <c r="V799" i="5"/>
  <c r="R800" i="5"/>
  <c r="V800" i="5" s="1"/>
  <c r="V865" i="5"/>
  <c r="V289" i="5"/>
  <c r="R290" i="5"/>
  <c r="V290" i="5" s="1"/>
  <c r="V355" i="5"/>
  <c r="R356" i="5"/>
  <c r="V356" i="5" s="1"/>
  <c r="V283" i="5"/>
  <c r="R284" i="5"/>
  <c r="V284" i="5" s="1"/>
  <c r="R260" i="5"/>
  <c r="V260" i="5" s="1"/>
  <c r="V655" i="5"/>
  <c r="R656" i="5"/>
  <c r="V656" i="5" s="1"/>
  <c r="V235" i="5"/>
  <c r="R236" i="5"/>
  <c r="V236" i="5" s="1"/>
  <c r="V985" i="5"/>
  <c r="R986" i="5"/>
  <c r="V986" i="5" s="1"/>
  <c r="R938" i="5"/>
  <c r="V938" i="5" s="1"/>
  <c r="V247" i="5"/>
  <c r="R248" i="5"/>
  <c r="V248" i="5" s="1"/>
  <c r="V541" i="5"/>
  <c r="R542" i="5"/>
  <c r="V542" i="5" s="1"/>
  <c r="V415" i="5"/>
  <c r="R416" i="5"/>
  <c r="V416" i="5" s="1"/>
  <c r="V223" i="5"/>
  <c r="R224" i="5"/>
  <c r="V224" i="5" s="1"/>
  <c r="V517" i="5"/>
  <c r="R518" i="5"/>
  <c r="V518" i="5" s="1"/>
  <c r="V43" i="5"/>
  <c r="V133" i="5"/>
  <c r="R134" i="5"/>
  <c r="V134" i="5" s="1"/>
  <c r="V97" i="5"/>
  <c r="R98" i="5"/>
  <c r="V98" i="5" s="1"/>
  <c r="R998" i="5"/>
  <c r="V998" i="5" s="1"/>
  <c r="C190" i="5" l="1"/>
  <c r="C196" i="5" s="1"/>
  <c r="C202" i="5" s="1"/>
  <c r="C214" i="5" s="1"/>
  <c r="C220" i="5" s="1"/>
  <c r="C226" i="5" s="1"/>
  <c r="C232" i="5" s="1"/>
  <c r="C244" i="5" s="1"/>
  <c r="C250" i="5" s="1"/>
  <c r="C256" i="5" s="1"/>
  <c r="C280" i="5" s="1"/>
  <c r="C286" i="5" s="1"/>
  <c r="C304" i="5" s="1"/>
  <c r="C310" i="5" s="1"/>
  <c r="C322" i="5" s="1"/>
  <c r="C328" i="5" s="1"/>
  <c r="C352" i="5" s="1"/>
  <c r="C364" i="5" s="1"/>
  <c r="C370" i="5" s="1"/>
  <c r="C376" i="5" s="1"/>
  <c r="C412" i="5" s="1"/>
  <c r="C418" i="5" s="1"/>
  <c r="C424" i="5" s="1"/>
  <c r="C430" i="5" s="1"/>
  <c r="K176" i="5"/>
  <c r="U173" i="5"/>
  <c r="R173" i="5"/>
  <c r="R176" i="5" s="1"/>
  <c r="P140" i="5"/>
  <c r="P1027" i="5" s="1"/>
  <c r="P1040" i="5" s="1"/>
  <c r="P1024" i="5"/>
  <c r="M140" i="5"/>
  <c r="L140" i="5"/>
  <c r="K140" i="5"/>
  <c r="V218" i="5"/>
  <c r="N1040" i="5"/>
  <c r="V44" i="5"/>
  <c r="C436" i="5" l="1"/>
  <c r="C448" i="5"/>
  <c r="C454" i="5" s="1"/>
  <c r="C466" i="5" s="1"/>
  <c r="C478" i="5" s="1"/>
  <c r="C490" i="5" s="1"/>
  <c r="C508" i="5" s="1"/>
  <c r="C514" i="5" s="1"/>
  <c r="C520" i="5" s="1"/>
  <c r="C526" i="5" s="1"/>
  <c r="C538" i="5" s="1"/>
  <c r="C544" i="5" s="1"/>
  <c r="C550" i="5" s="1"/>
  <c r="C556" i="5" s="1"/>
  <c r="C562" i="5" s="1"/>
  <c r="C568" i="5" s="1"/>
  <c r="C574" i="5" s="1"/>
  <c r="C580" i="5" s="1"/>
  <c r="C586" i="5" s="1"/>
  <c r="C592" i="5" s="1"/>
  <c r="C598" i="5" s="1"/>
  <c r="C604" i="5" s="1"/>
  <c r="C610" i="5" s="1"/>
  <c r="C616" i="5" s="1"/>
  <c r="C622" i="5" s="1"/>
  <c r="C628" i="5" s="1"/>
  <c r="C634" i="5" s="1"/>
  <c r="C640" i="5" s="1"/>
  <c r="C646" i="5" s="1"/>
  <c r="C652" i="5" s="1"/>
  <c r="C658" i="5" s="1"/>
  <c r="C664" i="5" s="1"/>
  <c r="C670" i="5" s="1"/>
  <c r="C676" i="5" s="1"/>
  <c r="C682" i="5" s="1"/>
  <c r="C688" i="5" s="1"/>
  <c r="C694" i="5" s="1"/>
  <c r="C700" i="5" s="1"/>
  <c r="C706" i="5" s="1"/>
  <c r="C712" i="5" s="1"/>
  <c r="C718" i="5" s="1"/>
  <c r="C724" i="5" s="1"/>
  <c r="C730" i="5" s="1"/>
  <c r="C742" i="5" s="1"/>
  <c r="C748" i="5" s="1"/>
  <c r="C754" i="5" s="1"/>
  <c r="C760" i="5" s="1"/>
  <c r="C766" i="5" s="1"/>
  <c r="C772" i="5" s="1"/>
  <c r="C778" i="5" s="1"/>
  <c r="C784" i="5" s="1"/>
  <c r="C790" i="5" s="1"/>
  <c r="C796" i="5" s="1"/>
  <c r="C802" i="5" s="1"/>
  <c r="C808" i="5" s="1"/>
  <c r="C814" i="5" s="1"/>
  <c r="C820" i="5" s="1"/>
  <c r="C826" i="5" s="1"/>
  <c r="C832" i="5" s="1"/>
  <c r="C442" i="5"/>
  <c r="V173" i="5"/>
  <c r="U176" i="5"/>
  <c r="V176" i="5" s="1"/>
  <c r="Q137" i="5"/>
  <c r="O140" i="5"/>
  <c r="C838" i="5" l="1"/>
  <c r="C844" i="5"/>
  <c r="U137" i="5"/>
  <c r="Q1031" i="5"/>
  <c r="Q1034" i="5" s="1"/>
  <c r="Q1024" i="5"/>
  <c r="Q140" i="5"/>
  <c r="Q1027" i="5" s="1"/>
  <c r="R137" i="5"/>
  <c r="AW91" i="1"/>
  <c r="AW89" i="1"/>
  <c r="AW187" i="1"/>
  <c r="AW185" i="1"/>
  <c r="C850" i="5" l="1"/>
  <c r="C856" i="5"/>
  <c r="C862" i="5" s="1"/>
  <c r="C868" i="5" s="1"/>
  <c r="C874" i="5" s="1"/>
  <c r="Q1040" i="5"/>
  <c r="V137" i="5"/>
  <c r="R140" i="5"/>
  <c r="U140" i="5"/>
  <c r="BC1026" i="1"/>
  <c r="BB1026" i="1"/>
  <c r="BA1026" i="1"/>
  <c r="AZ1026" i="1"/>
  <c r="AY1026" i="1"/>
  <c r="AX1026" i="1"/>
  <c r="BC1022" i="1"/>
  <c r="BB1022" i="1"/>
  <c r="BA1021" i="1"/>
  <c r="BA1022" i="1" s="1"/>
  <c r="AZ1021" i="1"/>
  <c r="AZ1022" i="1" s="1"/>
  <c r="AY1021" i="1"/>
  <c r="AY1022" i="1" s="1"/>
  <c r="AX1021" i="1"/>
  <c r="AX1022" i="1" s="1"/>
  <c r="BD1020" i="1"/>
  <c r="BD1019" i="1"/>
  <c r="C880" i="5" l="1"/>
  <c r="C886" i="5"/>
  <c r="C892" i="5"/>
  <c r="C898" i="5" s="1"/>
  <c r="C904" i="5" s="1"/>
  <c r="C910" i="5" s="1"/>
  <c r="C916" i="5" s="1"/>
  <c r="C922" i="5" s="1"/>
  <c r="C928" i="5" s="1"/>
  <c r="C934" i="5" s="1"/>
  <c r="C940" i="5" s="1"/>
  <c r="C952" i="5" s="1"/>
  <c r="C958" i="5" s="1"/>
  <c r="C964" i="5" s="1"/>
  <c r="C970" i="5" s="1"/>
  <c r="V140" i="5"/>
  <c r="BD1021" i="1"/>
  <c r="BD1022" i="1" s="1"/>
  <c r="BD1013" i="1" l="1"/>
  <c r="BC1016" i="1"/>
  <c r="BB1016" i="1"/>
  <c r="BA1016" i="1"/>
  <c r="AZ1016" i="1"/>
  <c r="AY1016" i="1"/>
  <c r="AX1016" i="1"/>
  <c r="BD1015" i="1"/>
  <c r="BD1014" i="1"/>
  <c r="B1012" i="1"/>
  <c r="BD1016" i="1" l="1"/>
  <c r="BC1010" i="1" l="1"/>
  <c r="BB1010" i="1"/>
  <c r="BA1010" i="1"/>
  <c r="AZ1010" i="1"/>
  <c r="AY1010" i="1"/>
  <c r="AX1010" i="1"/>
  <c r="BD1009" i="1"/>
  <c r="BD1008" i="1"/>
  <c r="BD1007" i="1"/>
  <c r="AW1004" i="1"/>
  <c r="BD1010" i="1" l="1"/>
  <c r="BD413" i="1" l="1"/>
  <c r="AW1026" i="1" l="1"/>
  <c r="BC1004" i="1"/>
  <c r="BB1004" i="1"/>
  <c r="BA1004" i="1"/>
  <c r="AZ1004" i="1"/>
  <c r="AY1004" i="1"/>
  <c r="AX1004" i="1"/>
  <c r="BD1003" i="1"/>
  <c r="BD1002" i="1"/>
  <c r="BD1001" i="1"/>
  <c r="BD1004" i="1" l="1"/>
  <c r="AV1026" i="1"/>
  <c r="BC97" i="1" l="1"/>
  <c r="BB97" i="1"/>
  <c r="BA97" i="1"/>
  <c r="AZ97" i="1"/>
  <c r="AY97" i="1"/>
  <c r="AX97" i="1"/>
  <c r="AW97" i="1"/>
  <c r="AV97" i="1"/>
  <c r="AU97" i="1"/>
  <c r="BD216" i="1" l="1"/>
  <c r="BC217" i="1"/>
  <c r="BB217" i="1"/>
  <c r="BA217" i="1"/>
  <c r="AZ217" i="1"/>
  <c r="AY217" i="1"/>
  <c r="AX217" i="1"/>
  <c r="AW217" i="1"/>
  <c r="AV217" i="1"/>
  <c r="AU217" i="1"/>
  <c r="AU1026" i="1"/>
  <c r="BC997" i="1"/>
  <c r="BC998" i="1" s="1"/>
  <c r="BB997" i="1"/>
  <c r="BB998" i="1" s="1"/>
  <c r="BA997" i="1"/>
  <c r="BA998" i="1" s="1"/>
  <c r="AZ997" i="1"/>
  <c r="AZ998" i="1" s="1"/>
  <c r="AY997" i="1"/>
  <c r="AY998" i="1" s="1"/>
  <c r="AX997" i="1"/>
  <c r="AX998" i="1" s="1"/>
  <c r="AW997" i="1"/>
  <c r="AV997" i="1"/>
  <c r="AV998" i="1" s="1"/>
  <c r="AU997" i="1"/>
  <c r="BD996" i="1"/>
  <c r="BD995" i="1"/>
  <c r="AU601" i="1"/>
  <c r="AU998" i="1" l="1"/>
  <c r="AW998" i="1"/>
  <c r="BD997" i="1"/>
  <c r="BD750" i="1"/>
  <c r="BD749" i="1"/>
  <c r="BC752" i="1"/>
  <c r="BA752" i="1"/>
  <c r="AZ752" i="1"/>
  <c r="AY752" i="1"/>
  <c r="AX752" i="1"/>
  <c r="AW752" i="1"/>
  <c r="AV752" i="1"/>
  <c r="AU752" i="1"/>
  <c r="AT752" i="1"/>
  <c r="AS752" i="1"/>
  <c r="AR752" i="1"/>
  <c r="BD998" i="1" l="1"/>
  <c r="BB752" i="1"/>
  <c r="BD751" i="1"/>
  <c r="AT217" i="1"/>
  <c r="AT215" i="1"/>
  <c r="BD752" i="1" l="1"/>
  <c r="BD215" i="1"/>
  <c r="AS373" i="1"/>
  <c r="BC373" i="1"/>
  <c r="BB373" i="1"/>
  <c r="BA373" i="1"/>
  <c r="AZ373" i="1"/>
  <c r="AY373" i="1"/>
  <c r="AX373" i="1"/>
  <c r="AW373" i="1"/>
  <c r="AV373" i="1"/>
  <c r="AU373" i="1"/>
  <c r="AT373" i="1"/>
  <c r="AQ990" i="1" l="1"/>
  <c r="AT1026" i="1" l="1"/>
  <c r="AS1026" i="1"/>
  <c r="AP1026" i="1"/>
  <c r="AO1026" i="1"/>
  <c r="AN1026" i="1"/>
  <c r="AM1026" i="1"/>
  <c r="AL1026" i="1"/>
  <c r="AK1026" i="1"/>
  <c r="AJ1026" i="1"/>
  <c r="AI1026" i="1"/>
  <c r="AH1026" i="1"/>
  <c r="AG1026" i="1"/>
  <c r="AF1026" i="1"/>
  <c r="AC1026" i="1"/>
  <c r="AB1026" i="1"/>
  <c r="AA1026" i="1"/>
  <c r="Z1026" i="1"/>
  <c r="Y1026" i="1"/>
  <c r="X1026" i="1"/>
  <c r="W1026" i="1"/>
  <c r="V1026" i="1"/>
  <c r="U1026" i="1"/>
  <c r="T1026" i="1"/>
  <c r="S1026" i="1"/>
  <c r="O1026" i="1"/>
  <c r="N1026" i="1"/>
  <c r="M1026" i="1"/>
  <c r="L1026" i="1"/>
  <c r="K1026" i="1"/>
  <c r="J1026" i="1"/>
  <c r="I1026" i="1"/>
  <c r="H1026" i="1"/>
  <c r="G1026" i="1"/>
  <c r="F1026" i="1"/>
  <c r="E1026" i="1"/>
  <c r="AP1025" i="1"/>
  <c r="AO1025" i="1"/>
  <c r="AN1025" i="1"/>
  <c r="AM1025" i="1"/>
  <c r="AL1025" i="1"/>
  <c r="AK1025" i="1"/>
  <c r="AJ1025" i="1"/>
  <c r="AI1025" i="1"/>
  <c r="AH1025" i="1"/>
  <c r="AG1025" i="1"/>
  <c r="AF1025" i="1"/>
  <c r="AE1025" i="1"/>
  <c r="AC1025" i="1"/>
  <c r="AB1025" i="1"/>
  <c r="AA1025" i="1"/>
  <c r="Z1025" i="1"/>
  <c r="Y1025" i="1"/>
  <c r="X1025" i="1"/>
  <c r="W1025" i="1"/>
  <c r="V1025" i="1"/>
  <c r="U1025" i="1"/>
  <c r="T1025" i="1"/>
  <c r="S1025" i="1"/>
  <c r="R1025" i="1"/>
  <c r="P1025" i="1"/>
  <c r="O1025" i="1"/>
  <c r="N1025" i="1"/>
  <c r="M1025" i="1"/>
  <c r="L1025" i="1"/>
  <c r="K1025" i="1"/>
  <c r="J1025" i="1"/>
  <c r="H1025" i="1"/>
  <c r="G1025" i="1"/>
  <c r="F1025" i="1"/>
  <c r="E1025" i="1"/>
  <c r="AV992" i="1"/>
  <c r="AU992" i="1"/>
  <c r="AT992" i="1"/>
  <c r="AS992" i="1"/>
  <c r="AR992" i="1"/>
  <c r="AP992" i="1"/>
  <c r="AO992" i="1"/>
  <c r="AN992" i="1"/>
  <c r="AM992" i="1"/>
  <c r="AL992" i="1"/>
  <c r="AK992" i="1"/>
  <c r="BC991" i="1"/>
  <c r="BC992" i="1" s="1"/>
  <c r="BB991" i="1"/>
  <c r="BB992" i="1" s="1"/>
  <c r="AZ991" i="1"/>
  <c r="AZ992" i="1" s="1"/>
  <c r="AY991" i="1"/>
  <c r="AY992" i="1" s="1"/>
  <c r="AX991" i="1"/>
  <c r="AX992" i="1" s="1"/>
  <c r="AW991" i="1"/>
  <c r="AQ991" i="1"/>
  <c r="BD990" i="1"/>
  <c r="BD989" i="1"/>
  <c r="AQ989" i="1"/>
  <c r="AQ992" i="1" s="1"/>
  <c r="AP986" i="1"/>
  <c r="AO986" i="1"/>
  <c r="AN986" i="1"/>
  <c r="AM986" i="1"/>
  <c r="AL986" i="1"/>
  <c r="AK986" i="1"/>
  <c r="BC985" i="1"/>
  <c r="BC986" i="1" s="1"/>
  <c r="BB985" i="1"/>
  <c r="BB986" i="1" s="1"/>
  <c r="BA985" i="1"/>
  <c r="BA986" i="1" s="1"/>
  <c r="AZ985" i="1"/>
  <c r="AZ986" i="1" s="1"/>
  <c r="AY985" i="1"/>
  <c r="AY986" i="1" s="1"/>
  <c r="AX985" i="1"/>
  <c r="AX986" i="1" s="1"/>
  <c r="AW985" i="1"/>
  <c r="AV985" i="1"/>
  <c r="AV986" i="1" s="1"/>
  <c r="AU985" i="1"/>
  <c r="AU986" i="1" s="1"/>
  <c r="AT985" i="1"/>
  <c r="AS985" i="1"/>
  <c r="AS986" i="1" s="1"/>
  <c r="AR985" i="1"/>
  <c r="AQ985" i="1"/>
  <c r="BD984" i="1"/>
  <c r="AQ984" i="1"/>
  <c r="BD983" i="1"/>
  <c r="AQ983" i="1"/>
  <c r="AP980" i="1"/>
  <c r="AO980" i="1"/>
  <c r="AN980" i="1"/>
  <c r="AM980" i="1"/>
  <c r="AL980" i="1"/>
  <c r="AK980" i="1"/>
  <c r="AJ980" i="1"/>
  <c r="BC979" i="1"/>
  <c r="BC980" i="1" s="1"/>
  <c r="BB979" i="1"/>
  <c r="BB980" i="1" s="1"/>
  <c r="BA979" i="1"/>
  <c r="BA980" i="1" s="1"/>
  <c r="AZ979" i="1"/>
  <c r="AZ980" i="1" s="1"/>
  <c r="AY979" i="1"/>
  <c r="AY980" i="1" s="1"/>
  <c r="AX979" i="1"/>
  <c r="AX980" i="1" s="1"/>
  <c r="AW979" i="1"/>
  <c r="AV979" i="1"/>
  <c r="AV980" i="1" s="1"/>
  <c r="AU979" i="1"/>
  <c r="AU980" i="1" s="1"/>
  <c r="AT979" i="1"/>
  <c r="AT980" i="1" s="1"/>
  <c r="AS979" i="1"/>
  <c r="AR979" i="1"/>
  <c r="AQ979" i="1"/>
  <c r="BD978" i="1"/>
  <c r="AQ978" i="1"/>
  <c r="BD977" i="1"/>
  <c r="AQ977" i="1"/>
  <c r="BC974" i="1"/>
  <c r="BB974" i="1"/>
  <c r="BA974" i="1"/>
  <c r="AZ974" i="1"/>
  <c r="AY974" i="1"/>
  <c r="AX974" i="1"/>
  <c r="AW974" i="1"/>
  <c r="AV974" i="1"/>
  <c r="AU974" i="1"/>
  <c r="AT974" i="1"/>
  <c r="AS974" i="1"/>
  <c r="AR974" i="1"/>
  <c r="AP974" i="1"/>
  <c r="AO974" i="1"/>
  <c r="AN974" i="1"/>
  <c r="AM974" i="1"/>
  <c r="AL974" i="1"/>
  <c r="AK974" i="1"/>
  <c r="AJ974" i="1"/>
  <c r="AI974" i="1"/>
  <c r="AH974" i="1"/>
  <c r="AG974" i="1"/>
  <c r="AF974" i="1"/>
  <c r="AE974" i="1"/>
  <c r="BD973" i="1"/>
  <c r="AQ973" i="1"/>
  <c r="BD972" i="1"/>
  <c r="AQ972" i="1"/>
  <c r="BD971" i="1"/>
  <c r="AQ971" i="1"/>
  <c r="AP968" i="1"/>
  <c r="AO968" i="1"/>
  <c r="AN968" i="1"/>
  <c r="AM968" i="1"/>
  <c r="AL968" i="1"/>
  <c r="AK968" i="1"/>
  <c r="AJ968" i="1"/>
  <c r="AI968" i="1"/>
  <c r="AH968" i="1"/>
  <c r="AG968" i="1"/>
  <c r="AF968" i="1"/>
  <c r="AE968" i="1"/>
  <c r="BC967" i="1"/>
  <c r="BC968" i="1" s="1"/>
  <c r="BB967" i="1"/>
  <c r="BB968" i="1" s="1"/>
  <c r="BA967" i="1"/>
  <c r="BA968" i="1" s="1"/>
  <c r="AZ967" i="1"/>
  <c r="AZ968" i="1" s="1"/>
  <c r="AY967" i="1"/>
  <c r="AY968" i="1" s="1"/>
  <c r="AX967" i="1"/>
  <c r="AX968" i="1" s="1"/>
  <c r="AW967" i="1"/>
  <c r="AV967" i="1"/>
  <c r="AV968" i="1" s="1"/>
  <c r="AU967" i="1"/>
  <c r="AU968" i="1" s="1"/>
  <c r="AT967" i="1"/>
  <c r="AT968" i="1" s="1"/>
  <c r="AS967" i="1"/>
  <c r="AS968" i="1" s="1"/>
  <c r="AR967" i="1"/>
  <c r="AQ967" i="1"/>
  <c r="BD966" i="1"/>
  <c r="AQ966" i="1"/>
  <c r="BD965" i="1"/>
  <c r="AQ965" i="1"/>
  <c r="B964" i="1"/>
  <c r="B970" i="1" s="1"/>
  <c r="BC962" i="1"/>
  <c r="BB962" i="1"/>
  <c r="BA962" i="1"/>
  <c r="AZ962" i="1"/>
  <c r="AY962" i="1"/>
  <c r="AX962" i="1"/>
  <c r="AW962" i="1"/>
  <c r="AV962" i="1"/>
  <c r="AU962" i="1"/>
  <c r="AT962" i="1"/>
  <c r="AS962" i="1"/>
  <c r="AR962" i="1"/>
  <c r="AP962" i="1"/>
  <c r="AO962" i="1"/>
  <c r="AN962" i="1"/>
  <c r="AM962" i="1"/>
  <c r="AL962" i="1"/>
  <c r="AK962" i="1"/>
  <c r="AJ962" i="1"/>
  <c r="AI962" i="1"/>
  <c r="AH962" i="1"/>
  <c r="AG962" i="1"/>
  <c r="AF962" i="1"/>
  <c r="AE962" i="1"/>
  <c r="BD961" i="1"/>
  <c r="AQ961" i="1"/>
  <c r="BD960" i="1"/>
  <c r="AQ960" i="1"/>
  <c r="BD959" i="1"/>
  <c r="AQ959" i="1"/>
  <c r="BC956" i="1"/>
  <c r="BB956" i="1"/>
  <c r="BA956" i="1"/>
  <c r="AZ956" i="1"/>
  <c r="AY956" i="1"/>
  <c r="AX956" i="1"/>
  <c r="AW956" i="1"/>
  <c r="AV956" i="1"/>
  <c r="AU956" i="1"/>
  <c r="AT956" i="1"/>
  <c r="AS956" i="1"/>
  <c r="AR956" i="1"/>
  <c r="AP956" i="1"/>
  <c r="AO956" i="1"/>
  <c r="AN956" i="1"/>
  <c r="AM956" i="1"/>
  <c r="AL956" i="1"/>
  <c r="AK956" i="1"/>
  <c r="AJ956" i="1"/>
  <c r="AI956" i="1"/>
  <c r="AH956" i="1"/>
  <c r="AG956" i="1"/>
  <c r="AF956" i="1"/>
  <c r="AE956" i="1"/>
  <c r="BD955" i="1"/>
  <c r="AQ955" i="1"/>
  <c r="BD954" i="1"/>
  <c r="AQ954" i="1"/>
  <c r="BD953" i="1"/>
  <c r="AQ953" i="1"/>
  <c r="AP950" i="1"/>
  <c r="AO950" i="1"/>
  <c r="AN950" i="1"/>
  <c r="AM950" i="1"/>
  <c r="AL950" i="1"/>
  <c r="AK950" i="1"/>
  <c r="AJ950" i="1"/>
  <c r="AI950" i="1"/>
  <c r="AH950" i="1"/>
  <c r="AG950" i="1"/>
  <c r="AF950" i="1"/>
  <c r="AE950" i="1"/>
  <c r="AQ949" i="1"/>
  <c r="AQ948" i="1"/>
  <c r="AQ947" i="1"/>
  <c r="BB944" i="1"/>
  <c r="BA944" i="1"/>
  <c r="AZ944" i="1"/>
  <c r="AY944" i="1"/>
  <c r="AX944" i="1"/>
  <c r="AW944" i="1"/>
  <c r="AV944" i="1"/>
  <c r="AU944" i="1"/>
  <c r="AT944" i="1"/>
  <c r="AS944" i="1"/>
  <c r="AR944" i="1"/>
  <c r="AP944" i="1"/>
  <c r="AO944" i="1"/>
  <c r="AN944" i="1"/>
  <c r="AM944" i="1"/>
  <c r="AL944" i="1"/>
  <c r="AK944" i="1"/>
  <c r="AJ944" i="1"/>
  <c r="AI944" i="1"/>
  <c r="AH944" i="1"/>
  <c r="AG944" i="1"/>
  <c r="AF944" i="1"/>
  <c r="AE944" i="1"/>
  <c r="BC943" i="1"/>
  <c r="AQ943" i="1"/>
  <c r="BD942" i="1"/>
  <c r="AQ942" i="1"/>
  <c r="BD941" i="1"/>
  <c r="AQ941" i="1"/>
  <c r="AP938" i="1"/>
  <c r="AO938" i="1"/>
  <c r="AN938" i="1"/>
  <c r="AM938" i="1"/>
  <c r="AL938" i="1"/>
  <c r="AK938" i="1"/>
  <c r="AJ938" i="1"/>
  <c r="AI938" i="1"/>
  <c r="AH938" i="1"/>
  <c r="AG938" i="1"/>
  <c r="AF938" i="1"/>
  <c r="AE938" i="1"/>
  <c r="AC938" i="1"/>
  <c r="AB938" i="1"/>
  <c r="AA938" i="1"/>
  <c r="Z938" i="1"/>
  <c r="Y938" i="1"/>
  <c r="X938" i="1"/>
  <c r="W938" i="1"/>
  <c r="V938" i="1"/>
  <c r="U938" i="1"/>
  <c r="T938" i="1"/>
  <c r="S938" i="1"/>
  <c r="R938" i="1"/>
  <c r="BC937" i="1"/>
  <c r="BC938" i="1" s="1"/>
  <c r="BB937" i="1"/>
  <c r="BB938" i="1" s="1"/>
  <c r="BA937" i="1"/>
  <c r="BA938" i="1" s="1"/>
  <c r="AZ937" i="1"/>
  <c r="AZ938" i="1" s="1"/>
  <c r="AY937" i="1"/>
  <c r="AY938" i="1" s="1"/>
  <c r="AX937" i="1"/>
  <c r="AX938" i="1" s="1"/>
  <c r="AW937" i="1"/>
  <c r="AV937" i="1"/>
  <c r="AV938" i="1" s="1"/>
  <c r="AU937" i="1"/>
  <c r="AU938" i="1" s="1"/>
  <c r="AT937" i="1"/>
  <c r="AT938" i="1" s="1"/>
  <c r="AS937" i="1"/>
  <c r="AS938" i="1" s="1"/>
  <c r="AR937" i="1"/>
  <c r="AQ937" i="1"/>
  <c r="AD937" i="1"/>
  <c r="BD936" i="1"/>
  <c r="AQ936" i="1"/>
  <c r="AD936" i="1"/>
  <c r="BD935" i="1"/>
  <c r="AQ935" i="1"/>
  <c r="AD935" i="1"/>
  <c r="BC932" i="1"/>
  <c r="BB932" i="1"/>
  <c r="BA932" i="1"/>
  <c r="AZ932" i="1"/>
  <c r="AY932" i="1"/>
  <c r="AX932" i="1"/>
  <c r="AW932" i="1"/>
  <c r="AV932" i="1"/>
  <c r="AU932" i="1"/>
  <c r="AT932" i="1"/>
  <c r="AS932" i="1"/>
  <c r="AR932" i="1"/>
  <c r="AP932" i="1"/>
  <c r="AO932" i="1"/>
  <c r="AN932" i="1"/>
  <c r="AM932" i="1"/>
  <c r="AL932" i="1"/>
  <c r="AK932" i="1"/>
  <c r="AJ932" i="1"/>
  <c r="AI932" i="1"/>
  <c r="AH932" i="1"/>
  <c r="AG932" i="1"/>
  <c r="AF932" i="1"/>
  <c r="AE932" i="1"/>
  <c r="AC932" i="1"/>
  <c r="AB932" i="1"/>
  <c r="AA932" i="1"/>
  <c r="Z932" i="1"/>
  <c r="Y932" i="1"/>
  <c r="X932" i="1"/>
  <c r="W932" i="1"/>
  <c r="V932" i="1"/>
  <c r="U932" i="1"/>
  <c r="T932" i="1"/>
  <c r="S932" i="1"/>
  <c r="R932" i="1"/>
  <c r="BD931" i="1"/>
  <c r="AQ931" i="1"/>
  <c r="AD931" i="1"/>
  <c r="BD930" i="1"/>
  <c r="AQ930" i="1"/>
  <c r="AD930" i="1"/>
  <c r="BD929" i="1"/>
  <c r="AQ929" i="1"/>
  <c r="AD929" i="1"/>
  <c r="BC926" i="1"/>
  <c r="BB926" i="1"/>
  <c r="BA926" i="1"/>
  <c r="AZ926" i="1"/>
  <c r="AY926" i="1"/>
  <c r="AX926" i="1"/>
  <c r="AW926" i="1"/>
  <c r="AV926" i="1"/>
  <c r="AU926" i="1"/>
  <c r="AT926" i="1"/>
  <c r="AS926" i="1"/>
  <c r="AR926" i="1"/>
  <c r="AP926" i="1"/>
  <c r="AO926" i="1"/>
  <c r="AN926" i="1"/>
  <c r="AM926" i="1"/>
  <c r="AL926" i="1"/>
  <c r="AK926" i="1"/>
  <c r="AJ926" i="1"/>
  <c r="AI926" i="1"/>
  <c r="AH926" i="1"/>
  <c r="AG926" i="1"/>
  <c r="AF926" i="1"/>
  <c r="AE926" i="1"/>
  <c r="AC926" i="1"/>
  <c r="AB926" i="1"/>
  <c r="AA926" i="1"/>
  <c r="Z926" i="1"/>
  <c r="Y926" i="1"/>
  <c r="X926" i="1"/>
  <c r="W926" i="1"/>
  <c r="V926" i="1"/>
  <c r="U926" i="1"/>
  <c r="T926" i="1"/>
  <c r="S926" i="1"/>
  <c r="R926" i="1"/>
  <c r="BD925" i="1"/>
  <c r="AQ925" i="1"/>
  <c r="AD925" i="1"/>
  <c r="BD924" i="1"/>
  <c r="AQ924" i="1"/>
  <c r="AD924" i="1"/>
  <c r="BD923" i="1"/>
  <c r="AQ923" i="1"/>
  <c r="AD923" i="1"/>
  <c r="AI920" i="1"/>
  <c r="AH920" i="1"/>
  <c r="AG920" i="1"/>
  <c r="AF920" i="1"/>
  <c r="AE920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BC919" i="1"/>
  <c r="BC920" i="1" s="1"/>
  <c r="BB919" i="1"/>
  <c r="BB920" i="1" s="1"/>
  <c r="BA919" i="1"/>
  <c r="BA920" i="1" s="1"/>
  <c r="AZ919" i="1"/>
  <c r="AZ920" i="1" s="1"/>
  <c r="AY919" i="1"/>
  <c r="AY920" i="1" s="1"/>
  <c r="AX919" i="1"/>
  <c r="AX920" i="1" s="1"/>
  <c r="AW919" i="1"/>
  <c r="AV919" i="1"/>
  <c r="AV920" i="1" s="1"/>
  <c r="AU919" i="1"/>
  <c r="AT919" i="1"/>
  <c r="AT920" i="1" s="1"/>
  <c r="AS919" i="1"/>
  <c r="AS920" i="1" s="1"/>
  <c r="AR919" i="1"/>
  <c r="AP919" i="1"/>
  <c r="AP920" i="1" s="1"/>
  <c r="AO919" i="1"/>
  <c r="AO920" i="1" s="1"/>
  <c r="AN919" i="1"/>
  <c r="AN920" i="1" s="1"/>
  <c r="AM919" i="1"/>
  <c r="AM920" i="1" s="1"/>
  <c r="AL919" i="1"/>
  <c r="AL920" i="1" s="1"/>
  <c r="AK919" i="1"/>
  <c r="AK920" i="1" s="1"/>
  <c r="AJ919" i="1"/>
  <c r="AJ920" i="1" s="1"/>
  <c r="AD919" i="1"/>
  <c r="BD918" i="1"/>
  <c r="AQ918" i="1"/>
  <c r="AD918" i="1"/>
  <c r="BD917" i="1"/>
  <c r="AQ917" i="1"/>
  <c r="AD917" i="1"/>
  <c r="BC914" i="1"/>
  <c r="BB914" i="1"/>
  <c r="BA914" i="1"/>
  <c r="AZ914" i="1"/>
  <c r="AY914" i="1"/>
  <c r="AX914" i="1"/>
  <c r="AW914" i="1"/>
  <c r="AV914" i="1"/>
  <c r="AU914" i="1"/>
  <c r="AT914" i="1"/>
  <c r="AS914" i="1"/>
  <c r="AR914" i="1"/>
  <c r="AP914" i="1"/>
  <c r="AO914" i="1"/>
  <c r="AN914" i="1"/>
  <c r="AM914" i="1"/>
  <c r="AL914" i="1"/>
  <c r="AK914" i="1"/>
  <c r="AJ914" i="1"/>
  <c r="AI914" i="1"/>
  <c r="AH914" i="1"/>
  <c r="AG914" i="1"/>
  <c r="AF914" i="1"/>
  <c r="AE914" i="1"/>
  <c r="AC914" i="1"/>
  <c r="AB914" i="1"/>
  <c r="AA914" i="1"/>
  <c r="Z914" i="1"/>
  <c r="Y914" i="1"/>
  <c r="X914" i="1"/>
  <c r="W914" i="1"/>
  <c r="V914" i="1"/>
  <c r="U914" i="1"/>
  <c r="T914" i="1"/>
  <c r="S914" i="1"/>
  <c r="R914" i="1"/>
  <c r="BD913" i="1"/>
  <c r="AQ913" i="1"/>
  <c r="AD913" i="1"/>
  <c r="BD912" i="1"/>
  <c r="AQ912" i="1"/>
  <c r="AD912" i="1"/>
  <c r="BD911" i="1"/>
  <c r="AQ911" i="1"/>
  <c r="AD911" i="1"/>
  <c r="AC908" i="1"/>
  <c r="AB908" i="1"/>
  <c r="AA908" i="1"/>
  <c r="Z908" i="1"/>
  <c r="Y908" i="1"/>
  <c r="X908" i="1"/>
  <c r="W908" i="1"/>
  <c r="V908" i="1"/>
  <c r="U908" i="1"/>
  <c r="T908" i="1"/>
  <c r="S908" i="1"/>
  <c r="R908" i="1"/>
  <c r="BC907" i="1"/>
  <c r="BC908" i="1" s="1"/>
  <c r="BB907" i="1"/>
  <c r="BB908" i="1" s="1"/>
  <c r="BA907" i="1"/>
  <c r="BA908" i="1" s="1"/>
  <c r="AZ907" i="1"/>
  <c r="AZ908" i="1" s="1"/>
  <c r="AY907" i="1"/>
  <c r="AY908" i="1" s="1"/>
  <c r="AX907" i="1"/>
  <c r="AX908" i="1" s="1"/>
  <c r="AW907" i="1"/>
  <c r="AV907" i="1"/>
  <c r="AV908" i="1" s="1"/>
  <c r="AU907" i="1"/>
  <c r="AU908" i="1" s="1"/>
  <c r="AT907" i="1"/>
  <c r="AT908" i="1" s="1"/>
  <c r="AS907" i="1"/>
  <c r="AS908" i="1" s="1"/>
  <c r="AR907" i="1"/>
  <c r="AP907" i="1"/>
  <c r="AP908" i="1" s="1"/>
  <c r="AO907" i="1"/>
  <c r="AO908" i="1" s="1"/>
  <c r="AN907" i="1"/>
  <c r="AN908" i="1" s="1"/>
  <c r="AM907" i="1"/>
  <c r="AM908" i="1" s="1"/>
  <c r="AL907" i="1"/>
  <c r="AL908" i="1" s="1"/>
  <c r="AK907" i="1"/>
  <c r="AK908" i="1" s="1"/>
  <c r="AJ907" i="1"/>
  <c r="AJ908" i="1" s="1"/>
  <c r="AI907" i="1"/>
  <c r="AI908" i="1" s="1"/>
  <c r="AH907" i="1"/>
  <c r="AH908" i="1" s="1"/>
  <c r="AG907" i="1"/>
  <c r="AG908" i="1" s="1"/>
  <c r="AF907" i="1"/>
  <c r="AF908" i="1" s="1"/>
  <c r="AE907" i="1"/>
  <c r="AD907" i="1"/>
  <c r="BD906" i="1"/>
  <c r="AQ906" i="1"/>
  <c r="AD906" i="1"/>
  <c r="BD905" i="1"/>
  <c r="AQ905" i="1"/>
  <c r="AD905" i="1"/>
  <c r="BC902" i="1"/>
  <c r="BB902" i="1"/>
  <c r="BA902" i="1"/>
  <c r="AZ902" i="1"/>
  <c r="AY902" i="1"/>
  <c r="AX902" i="1"/>
  <c r="AW902" i="1"/>
  <c r="AV902" i="1"/>
  <c r="AU902" i="1"/>
  <c r="AT902" i="1"/>
  <c r="AS902" i="1"/>
  <c r="AR902" i="1"/>
  <c r="AP902" i="1"/>
  <c r="AO902" i="1"/>
  <c r="AN902" i="1"/>
  <c r="AM902" i="1"/>
  <c r="AL902" i="1"/>
  <c r="AK902" i="1"/>
  <c r="AJ902" i="1"/>
  <c r="AI902" i="1"/>
  <c r="AH902" i="1"/>
  <c r="AG902" i="1"/>
  <c r="AF902" i="1"/>
  <c r="AE902" i="1"/>
  <c r="AC902" i="1"/>
  <c r="AB902" i="1"/>
  <c r="AA902" i="1"/>
  <c r="Z902" i="1"/>
  <c r="Y902" i="1"/>
  <c r="X902" i="1"/>
  <c r="W902" i="1"/>
  <c r="V902" i="1"/>
  <c r="U902" i="1"/>
  <c r="T902" i="1"/>
  <c r="S902" i="1"/>
  <c r="R902" i="1"/>
  <c r="BD901" i="1"/>
  <c r="AQ901" i="1"/>
  <c r="AD901" i="1"/>
  <c r="BD900" i="1"/>
  <c r="AQ900" i="1"/>
  <c r="AD900" i="1"/>
  <c r="BD899" i="1"/>
  <c r="AQ899" i="1"/>
  <c r="AD899" i="1"/>
  <c r="BC896" i="1"/>
  <c r="BB896" i="1"/>
  <c r="BA896" i="1"/>
  <c r="AZ896" i="1"/>
  <c r="AY896" i="1"/>
  <c r="AX896" i="1"/>
  <c r="AW896" i="1"/>
  <c r="AV896" i="1"/>
  <c r="AU896" i="1"/>
  <c r="AT896" i="1"/>
  <c r="AS896" i="1"/>
  <c r="AR896" i="1"/>
  <c r="AP896" i="1"/>
  <c r="AO896" i="1"/>
  <c r="AN896" i="1"/>
  <c r="AM896" i="1"/>
  <c r="AL896" i="1"/>
  <c r="AK896" i="1"/>
  <c r="AJ896" i="1"/>
  <c r="AI896" i="1"/>
  <c r="AH896" i="1"/>
  <c r="AG896" i="1"/>
  <c r="AF896" i="1"/>
  <c r="AE896" i="1"/>
  <c r="AC896" i="1"/>
  <c r="AB896" i="1"/>
  <c r="AA896" i="1"/>
  <c r="Z896" i="1"/>
  <c r="Y896" i="1"/>
  <c r="X896" i="1"/>
  <c r="W896" i="1"/>
  <c r="V896" i="1"/>
  <c r="U896" i="1"/>
  <c r="T896" i="1"/>
  <c r="S896" i="1"/>
  <c r="R896" i="1"/>
  <c r="BD895" i="1"/>
  <c r="AQ895" i="1"/>
  <c r="AD895" i="1"/>
  <c r="BD894" i="1"/>
  <c r="AQ894" i="1"/>
  <c r="AD894" i="1"/>
  <c r="BD893" i="1"/>
  <c r="AQ893" i="1"/>
  <c r="AD893" i="1"/>
  <c r="BC890" i="1"/>
  <c r="BB890" i="1"/>
  <c r="BA890" i="1"/>
  <c r="AZ890" i="1"/>
  <c r="AY890" i="1"/>
  <c r="AX890" i="1"/>
  <c r="AW890" i="1"/>
  <c r="AV890" i="1"/>
  <c r="AU890" i="1"/>
  <c r="AT890" i="1"/>
  <c r="AS890" i="1"/>
  <c r="AR890" i="1"/>
  <c r="AP890" i="1"/>
  <c r="AO890" i="1"/>
  <c r="AN890" i="1"/>
  <c r="AM890" i="1"/>
  <c r="AL890" i="1"/>
  <c r="AK890" i="1"/>
  <c r="AJ890" i="1"/>
  <c r="AI890" i="1"/>
  <c r="AH890" i="1"/>
  <c r="AG890" i="1"/>
  <c r="AF890" i="1"/>
  <c r="AE890" i="1"/>
  <c r="AC890" i="1"/>
  <c r="AB890" i="1"/>
  <c r="AA890" i="1"/>
  <c r="Z890" i="1"/>
  <c r="Y890" i="1"/>
  <c r="X890" i="1"/>
  <c r="W890" i="1"/>
  <c r="V890" i="1"/>
  <c r="U890" i="1"/>
  <c r="T890" i="1"/>
  <c r="S890" i="1"/>
  <c r="R890" i="1"/>
  <c r="BD889" i="1"/>
  <c r="AQ889" i="1"/>
  <c r="AD889" i="1"/>
  <c r="BD888" i="1"/>
  <c r="AQ888" i="1"/>
  <c r="AD888" i="1"/>
  <c r="BD887" i="1"/>
  <c r="AQ887" i="1"/>
  <c r="AD887" i="1"/>
  <c r="BC884" i="1"/>
  <c r="BB884" i="1"/>
  <c r="BA884" i="1"/>
  <c r="AZ884" i="1"/>
  <c r="AY884" i="1"/>
  <c r="AX884" i="1"/>
  <c r="AW884" i="1"/>
  <c r="AV884" i="1"/>
  <c r="AU884" i="1"/>
  <c r="AT884" i="1"/>
  <c r="AS884" i="1"/>
  <c r="AR884" i="1"/>
  <c r="AP884" i="1"/>
  <c r="AO884" i="1"/>
  <c r="AN884" i="1"/>
  <c r="AM884" i="1"/>
  <c r="AL884" i="1"/>
  <c r="AK884" i="1"/>
  <c r="AJ884" i="1"/>
  <c r="AI884" i="1"/>
  <c r="AH884" i="1"/>
  <c r="AG884" i="1"/>
  <c r="AF884" i="1"/>
  <c r="AE884" i="1"/>
  <c r="AC884" i="1"/>
  <c r="AB884" i="1"/>
  <c r="AA884" i="1"/>
  <c r="Z884" i="1"/>
  <c r="Y884" i="1"/>
  <c r="X884" i="1"/>
  <c r="W884" i="1"/>
  <c r="V884" i="1"/>
  <c r="U884" i="1"/>
  <c r="T884" i="1"/>
  <c r="S884" i="1"/>
  <c r="R884" i="1"/>
  <c r="BD883" i="1"/>
  <c r="AQ883" i="1"/>
  <c r="AD883" i="1"/>
  <c r="BD882" i="1"/>
  <c r="AQ882" i="1"/>
  <c r="AD882" i="1"/>
  <c r="BD881" i="1"/>
  <c r="AQ881" i="1"/>
  <c r="AD881" i="1"/>
  <c r="BC878" i="1"/>
  <c r="BB878" i="1"/>
  <c r="BA878" i="1"/>
  <c r="AZ878" i="1"/>
  <c r="AY878" i="1"/>
  <c r="AX878" i="1"/>
  <c r="AW878" i="1"/>
  <c r="AV878" i="1"/>
  <c r="AU878" i="1"/>
  <c r="AT878" i="1"/>
  <c r="AS878" i="1"/>
  <c r="AR878" i="1"/>
  <c r="AP878" i="1"/>
  <c r="AO878" i="1"/>
  <c r="AN878" i="1"/>
  <c r="AM878" i="1"/>
  <c r="AL878" i="1"/>
  <c r="AK878" i="1"/>
  <c r="AJ878" i="1"/>
  <c r="AI878" i="1"/>
  <c r="AH878" i="1"/>
  <c r="AG878" i="1"/>
  <c r="AF878" i="1"/>
  <c r="AE878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BD877" i="1"/>
  <c r="AQ877" i="1"/>
  <c r="AD877" i="1"/>
  <c r="BD876" i="1"/>
  <c r="AQ876" i="1"/>
  <c r="AD876" i="1"/>
  <c r="BD875" i="1"/>
  <c r="AQ875" i="1"/>
  <c r="AD875" i="1"/>
  <c r="U872" i="1"/>
  <c r="T872" i="1"/>
  <c r="S872" i="1"/>
  <c r="R872" i="1"/>
  <c r="BC871" i="1"/>
  <c r="BC872" i="1" s="1"/>
  <c r="BB871" i="1"/>
  <c r="BB872" i="1" s="1"/>
  <c r="BA871" i="1"/>
  <c r="BA872" i="1" s="1"/>
  <c r="AZ871" i="1"/>
  <c r="AZ872" i="1" s="1"/>
  <c r="AY871" i="1"/>
  <c r="AY872" i="1" s="1"/>
  <c r="AX871" i="1"/>
  <c r="AX872" i="1" s="1"/>
  <c r="AW871" i="1"/>
  <c r="AV871" i="1"/>
  <c r="AV872" i="1" s="1"/>
  <c r="AU871" i="1"/>
  <c r="AU872" i="1" s="1"/>
  <c r="AT871" i="1"/>
  <c r="AT872" i="1" s="1"/>
  <c r="AS871" i="1"/>
  <c r="AS872" i="1" s="1"/>
  <c r="AR871" i="1"/>
  <c r="AP871" i="1"/>
  <c r="AP872" i="1" s="1"/>
  <c r="AO871" i="1"/>
  <c r="AO872" i="1" s="1"/>
  <c r="AN871" i="1"/>
  <c r="AN872" i="1" s="1"/>
  <c r="AM871" i="1"/>
  <c r="AM872" i="1" s="1"/>
  <c r="AL871" i="1"/>
  <c r="AL872" i="1" s="1"/>
  <c r="AK871" i="1"/>
  <c r="AK872" i="1" s="1"/>
  <c r="AJ871" i="1"/>
  <c r="AJ872" i="1" s="1"/>
  <c r="AI871" i="1"/>
  <c r="AI872" i="1" s="1"/>
  <c r="AH871" i="1"/>
  <c r="AH872" i="1" s="1"/>
  <c r="AG871" i="1"/>
  <c r="AG872" i="1" s="1"/>
  <c r="AF871" i="1"/>
  <c r="AF872" i="1" s="1"/>
  <c r="AE871" i="1"/>
  <c r="AE872" i="1" s="1"/>
  <c r="AC871" i="1"/>
  <c r="AC872" i="1" s="1"/>
  <c r="AB871" i="1"/>
  <c r="AB872" i="1" s="1"/>
  <c r="AA871" i="1"/>
  <c r="AA872" i="1" s="1"/>
  <c r="Z871" i="1"/>
  <c r="Z872" i="1" s="1"/>
  <c r="Y871" i="1"/>
  <c r="Y872" i="1" s="1"/>
  <c r="X871" i="1"/>
  <c r="X872" i="1" s="1"/>
  <c r="W871" i="1"/>
  <c r="W872" i="1" s="1"/>
  <c r="V871" i="1"/>
  <c r="BD870" i="1"/>
  <c r="AQ870" i="1"/>
  <c r="AD870" i="1"/>
  <c r="BD869" i="1"/>
  <c r="AQ869" i="1"/>
  <c r="AD869" i="1"/>
  <c r="AB866" i="1"/>
  <c r="AA866" i="1"/>
  <c r="Z866" i="1"/>
  <c r="Y866" i="1"/>
  <c r="X866" i="1"/>
  <c r="W866" i="1"/>
  <c r="V866" i="1"/>
  <c r="U866" i="1"/>
  <c r="T866" i="1"/>
  <c r="S866" i="1"/>
  <c r="R866" i="1"/>
  <c r="BC865" i="1"/>
  <c r="BC866" i="1" s="1"/>
  <c r="BB865" i="1"/>
  <c r="BB866" i="1" s="1"/>
  <c r="BA865" i="1"/>
  <c r="BA866" i="1" s="1"/>
  <c r="AZ865" i="1"/>
  <c r="AZ866" i="1" s="1"/>
  <c r="AY865" i="1"/>
  <c r="AY866" i="1" s="1"/>
  <c r="AX865" i="1"/>
  <c r="AX866" i="1" s="1"/>
  <c r="AW865" i="1"/>
  <c r="AV865" i="1"/>
  <c r="AV866" i="1" s="1"/>
  <c r="AU865" i="1"/>
  <c r="AU866" i="1" s="1"/>
  <c r="AT865" i="1"/>
  <c r="AT866" i="1" s="1"/>
  <c r="AS865" i="1"/>
  <c r="AS866" i="1" s="1"/>
  <c r="AR865" i="1"/>
  <c r="AP865" i="1"/>
  <c r="AP866" i="1" s="1"/>
  <c r="AO865" i="1"/>
  <c r="AO866" i="1" s="1"/>
  <c r="AN865" i="1"/>
  <c r="AN866" i="1" s="1"/>
  <c r="AM865" i="1"/>
  <c r="AM866" i="1" s="1"/>
  <c r="AL865" i="1"/>
  <c r="AL866" i="1" s="1"/>
  <c r="AK865" i="1"/>
  <c r="AK866" i="1" s="1"/>
  <c r="AJ865" i="1"/>
  <c r="AJ866" i="1" s="1"/>
  <c r="AI865" i="1"/>
  <c r="AI866" i="1" s="1"/>
  <c r="AH865" i="1"/>
  <c r="AH866" i="1" s="1"/>
  <c r="AG865" i="1"/>
  <c r="AG866" i="1" s="1"/>
  <c r="AF865" i="1"/>
  <c r="AF866" i="1" s="1"/>
  <c r="AE865" i="1"/>
  <c r="AE866" i="1" s="1"/>
  <c r="AC865" i="1"/>
  <c r="AC866" i="1" s="1"/>
  <c r="BD864" i="1"/>
  <c r="AQ864" i="1"/>
  <c r="AD864" i="1"/>
  <c r="BD863" i="1"/>
  <c r="AQ863" i="1"/>
  <c r="AD863" i="1"/>
  <c r="O860" i="1"/>
  <c r="N860" i="1"/>
  <c r="M860" i="1"/>
  <c r="L860" i="1"/>
  <c r="K860" i="1"/>
  <c r="J860" i="1"/>
  <c r="I860" i="1"/>
  <c r="H860" i="1"/>
  <c r="G860" i="1"/>
  <c r="F860" i="1"/>
  <c r="E860" i="1"/>
  <c r="BC859" i="1"/>
  <c r="BC860" i="1" s="1"/>
  <c r="BB859" i="1"/>
  <c r="BB860" i="1" s="1"/>
  <c r="BA859" i="1"/>
  <c r="BA860" i="1" s="1"/>
  <c r="AZ859" i="1"/>
  <c r="AZ860" i="1" s="1"/>
  <c r="AY859" i="1"/>
  <c r="AY860" i="1" s="1"/>
  <c r="AX859" i="1"/>
  <c r="AX860" i="1" s="1"/>
  <c r="AW859" i="1"/>
  <c r="AV859" i="1"/>
  <c r="AV860" i="1" s="1"/>
  <c r="AU859" i="1"/>
  <c r="AU860" i="1" s="1"/>
  <c r="AT859" i="1"/>
  <c r="AT860" i="1" s="1"/>
  <c r="AS859" i="1"/>
  <c r="AS860" i="1" s="1"/>
  <c r="AR859" i="1"/>
  <c r="AP859" i="1"/>
  <c r="AP860" i="1" s="1"/>
  <c r="AO859" i="1"/>
  <c r="AO860" i="1" s="1"/>
  <c r="AN859" i="1"/>
  <c r="AN860" i="1" s="1"/>
  <c r="AM859" i="1"/>
  <c r="AM860" i="1" s="1"/>
  <c r="AL859" i="1"/>
  <c r="AL860" i="1" s="1"/>
  <c r="AK859" i="1"/>
  <c r="AK860" i="1" s="1"/>
  <c r="AJ859" i="1"/>
  <c r="AJ860" i="1" s="1"/>
  <c r="AI859" i="1"/>
  <c r="AI860" i="1" s="1"/>
  <c r="AH859" i="1"/>
  <c r="AH860" i="1" s="1"/>
  <c r="AG859" i="1"/>
  <c r="AG860" i="1" s="1"/>
  <c r="AF859" i="1"/>
  <c r="AF860" i="1" s="1"/>
  <c r="AE859" i="1"/>
  <c r="AC859" i="1"/>
  <c r="AC860" i="1" s="1"/>
  <c r="AB859" i="1"/>
  <c r="AB860" i="1" s="1"/>
  <c r="AA859" i="1"/>
  <c r="AA860" i="1" s="1"/>
  <c r="Z859" i="1"/>
  <c r="Z860" i="1" s="1"/>
  <c r="Y859" i="1"/>
  <c r="Y860" i="1" s="1"/>
  <c r="X859" i="1"/>
  <c r="X860" i="1" s="1"/>
  <c r="W859" i="1"/>
  <c r="W860" i="1" s="1"/>
  <c r="V859" i="1"/>
  <c r="V860" i="1" s="1"/>
  <c r="U859" i="1"/>
  <c r="U860" i="1" s="1"/>
  <c r="T859" i="1"/>
  <c r="T860" i="1" s="1"/>
  <c r="S859" i="1"/>
  <c r="S860" i="1" s="1"/>
  <c r="R859" i="1"/>
  <c r="P859" i="1"/>
  <c r="Q859" i="1" s="1"/>
  <c r="AR858" i="1"/>
  <c r="AE858" i="1"/>
  <c r="AQ858" i="1" s="1"/>
  <c r="R858" i="1"/>
  <c r="P858" i="1"/>
  <c r="Q858" i="1" s="1"/>
  <c r="BD857" i="1"/>
  <c r="AQ857" i="1"/>
  <c r="AD857" i="1"/>
  <c r="Q857" i="1"/>
  <c r="O854" i="1"/>
  <c r="N854" i="1"/>
  <c r="M854" i="1"/>
  <c r="L854" i="1"/>
  <c r="K854" i="1"/>
  <c r="J854" i="1"/>
  <c r="I854" i="1"/>
  <c r="H854" i="1"/>
  <c r="G854" i="1"/>
  <c r="F854" i="1"/>
  <c r="E854" i="1"/>
  <c r="BC853" i="1"/>
  <c r="BC854" i="1" s="1"/>
  <c r="BB853" i="1"/>
  <c r="BB854" i="1" s="1"/>
  <c r="BA853" i="1"/>
  <c r="BA854" i="1" s="1"/>
  <c r="AZ853" i="1"/>
  <c r="AZ854" i="1" s="1"/>
  <c r="AY853" i="1"/>
  <c r="AY854" i="1" s="1"/>
  <c r="AX853" i="1"/>
  <c r="AX854" i="1" s="1"/>
  <c r="AW853" i="1"/>
  <c r="AV853" i="1"/>
  <c r="AV854" i="1" s="1"/>
  <c r="AU853" i="1"/>
  <c r="AU854" i="1" s="1"/>
  <c r="AT853" i="1"/>
  <c r="AT854" i="1" s="1"/>
  <c r="AS853" i="1"/>
  <c r="AS854" i="1" s="1"/>
  <c r="AR853" i="1"/>
  <c r="AP853" i="1"/>
  <c r="AP854" i="1" s="1"/>
  <c r="AO853" i="1"/>
  <c r="AO854" i="1" s="1"/>
  <c r="AN853" i="1"/>
  <c r="AN854" i="1" s="1"/>
  <c r="AM853" i="1"/>
  <c r="AM854" i="1" s="1"/>
  <c r="AL853" i="1"/>
  <c r="AL854" i="1" s="1"/>
  <c r="AK853" i="1"/>
  <c r="AK854" i="1" s="1"/>
  <c r="AJ853" i="1"/>
  <c r="AJ854" i="1" s="1"/>
  <c r="AI853" i="1"/>
  <c r="AI854" i="1" s="1"/>
  <c r="AH853" i="1"/>
  <c r="AH854" i="1" s="1"/>
  <c r="AG853" i="1"/>
  <c r="AG854" i="1" s="1"/>
  <c r="AF853" i="1"/>
  <c r="AF854" i="1" s="1"/>
  <c r="AE853" i="1"/>
  <c r="AC853" i="1"/>
  <c r="AC854" i="1" s="1"/>
  <c r="AB853" i="1"/>
  <c r="AB854" i="1" s="1"/>
  <c r="AA853" i="1"/>
  <c r="AA854" i="1" s="1"/>
  <c r="Z853" i="1"/>
  <c r="Z854" i="1" s="1"/>
  <c r="Y853" i="1"/>
  <c r="Y854" i="1" s="1"/>
  <c r="X853" i="1"/>
  <c r="X854" i="1" s="1"/>
  <c r="W853" i="1"/>
  <c r="W854" i="1" s="1"/>
  <c r="V853" i="1"/>
  <c r="V854" i="1" s="1"/>
  <c r="U853" i="1"/>
  <c r="U854" i="1" s="1"/>
  <c r="T853" i="1"/>
  <c r="S853" i="1"/>
  <c r="S854" i="1" s="1"/>
  <c r="R853" i="1"/>
  <c r="P853" i="1"/>
  <c r="Q853" i="1" s="1"/>
  <c r="BD852" i="1"/>
  <c r="AE852" i="1"/>
  <c r="AQ852" i="1" s="1"/>
  <c r="R852" i="1"/>
  <c r="AD852" i="1" s="1"/>
  <c r="P852" i="1"/>
  <c r="Q852" i="1" s="1"/>
  <c r="BD851" i="1"/>
  <c r="AQ851" i="1"/>
  <c r="AD851" i="1"/>
  <c r="Q851" i="1"/>
  <c r="O848" i="1"/>
  <c r="N848" i="1"/>
  <c r="M848" i="1"/>
  <c r="L848" i="1"/>
  <c r="K848" i="1"/>
  <c r="J848" i="1"/>
  <c r="I848" i="1"/>
  <c r="H848" i="1"/>
  <c r="G848" i="1"/>
  <c r="F848" i="1"/>
  <c r="E848" i="1"/>
  <c r="BC847" i="1"/>
  <c r="BC848" i="1" s="1"/>
  <c r="BB847" i="1"/>
  <c r="BB848" i="1" s="1"/>
  <c r="BA847" i="1"/>
  <c r="BA848" i="1" s="1"/>
  <c r="AZ847" i="1"/>
  <c r="AZ848" i="1" s="1"/>
  <c r="AY847" i="1"/>
  <c r="AY848" i="1" s="1"/>
  <c r="AX847" i="1"/>
  <c r="AX848" i="1" s="1"/>
  <c r="AW847" i="1"/>
  <c r="AV847" i="1"/>
  <c r="AV848" i="1" s="1"/>
  <c r="AU847" i="1"/>
  <c r="AU848" i="1" s="1"/>
  <c r="AT847" i="1"/>
  <c r="AT848" i="1" s="1"/>
  <c r="AS847" i="1"/>
  <c r="AS848" i="1" s="1"/>
  <c r="AR847" i="1"/>
  <c r="AP847" i="1"/>
  <c r="AP848" i="1" s="1"/>
  <c r="AO847" i="1"/>
  <c r="AO848" i="1" s="1"/>
  <c r="AN847" i="1"/>
  <c r="AN848" i="1" s="1"/>
  <c r="AM847" i="1"/>
  <c r="AM848" i="1" s="1"/>
  <c r="AL847" i="1"/>
  <c r="AL848" i="1" s="1"/>
  <c r="AK847" i="1"/>
  <c r="AK848" i="1" s="1"/>
  <c r="AJ847" i="1"/>
  <c r="AJ848" i="1" s="1"/>
  <c r="AI847" i="1"/>
  <c r="AI848" i="1" s="1"/>
  <c r="AH847" i="1"/>
  <c r="AH848" i="1" s="1"/>
  <c r="AG847" i="1"/>
  <c r="AG848" i="1" s="1"/>
  <c r="AF847" i="1"/>
  <c r="AF848" i="1" s="1"/>
  <c r="AE847" i="1"/>
  <c r="AC847" i="1"/>
  <c r="AC848" i="1" s="1"/>
  <c r="AB847" i="1"/>
  <c r="AB848" i="1" s="1"/>
  <c r="AA847" i="1"/>
  <c r="AA848" i="1" s="1"/>
  <c r="Z847" i="1"/>
  <c r="Z848" i="1" s="1"/>
  <c r="Y847" i="1"/>
  <c r="Y848" i="1" s="1"/>
  <c r="X847" i="1"/>
  <c r="X848" i="1" s="1"/>
  <c r="W847" i="1"/>
  <c r="W848" i="1" s="1"/>
  <c r="V847" i="1"/>
  <c r="V848" i="1" s="1"/>
  <c r="U847" i="1"/>
  <c r="U848" i="1" s="1"/>
  <c r="T847" i="1"/>
  <c r="T848" i="1" s="1"/>
  <c r="S847" i="1"/>
  <c r="S848" i="1" s="1"/>
  <c r="R847" i="1"/>
  <c r="P847" i="1"/>
  <c r="Q847" i="1" s="1"/>
  <c r="AR846" i="1"/>
  <c r="AE846" i="1"/>
  <c r="R846" i="1"/>
  <c r="P846" i="1"/>
  <c r="BD845" i="1"/>
  <c r="AQ845" i="1"/>
  <c r="AD845" i="1"/>
  <c r="Q845" i="1"/>
  <c r="O842" i="1"/>
  <c r="N842" i="1"/>
  <c r="M842" i="1"/>
  <c r="L842" i="1"/>
  <c r="K842" i="1"/>
  <c r="J842" i="1"/>
  <c r="I842" i="1"/>
  <c r="H842" i="1"/>
  <c r="G842" i="1"/>
  <c r="F842" i="1"/>
  <c r="E842" i="1"/>
  <c r="BC842" i="1"/>
  <c r="BB842" i="1"/>
  <c r="BA842" i="1"/>
  <c r="AZ841" i="1"/>
  <c r="AZ842" i="1" s="1"/>
  <c r="AY841" i="1"/>
  <c r="AY842" i="1" s="1"/>
  <c r="AX841" i="1"/>
  <c r="AX842" i="1" s="1"/>
  <c r="AW841" i="1"/>
  <c r="AV841" i="1"/>
  <c r="AV842" i="1" s="1"/>
  <c r="AU841" i="1"/>
  <c r="AU842" i="1" s="1"/>
  <c r="AT841" i="1"/>
  <c r="AT842" i="1" s="1"/>
  <c r="AS841" i="1"/>
  <c r="AS842" i="1" s="1"/>
  <c r="AR841" i="1"/>
  <c r="AP841" i="1"/>
  <c r="AP842" i="1" s="1"/>
  <c r="AO841" i="1"/>
  <c r="AO842" i="1" s="1"/>
  <c r="AN841" i="1"/>
  <c r="AN842" i="1" s="1"/>
  <c r="AM841" i="1"/>
  <c r="AM842" i="1" s="1"/>
  <c r="AL841" i="1"/>
  <c r="AL842" i="1" s="1"/>
  <c r="AK841" i="1"/>
  <c r="AK842" i="1" s="1"/>
  <c r="AJ841" i="1"/>
  <c r="AJ842" i="1" s="1"/>
  <c r="AI841" i="1"/>
  <c r="AI842" i="1" s="1"/>
  <c r="AH841" i="1"/>
  <c r="AH842" i="1" s="1"/>
  <c r="AG841" i="1"/>
  <c r="AG842" i="1" s="1"/>
  <c r="AF841" i="1"/>
  <c r="AF842" i="1" s="1"/>
  <c r="AE841" i="1"/>
  <c r="AC841" i="1"/>
  <c r="AC842" i="1" s="1"/>
  <c r="AB841" i="1"/>
  <c r="AB842" i="1" s="1"/>
  <c r="AA841" i="1"/>
  <c r="AA842" i="1" s="1"/>
  <c r="Z841" i="1"/>
  <c r="Z842" i="1" s="1"/>
  <c r="Y841" i="1"/>
  <c r="Y842" i="1" s="1"/>
  <c r="X841" i="1"/>
  <c r="X842" i="1" s="1"/>
  <c r="W841" i="1"/>
  <c r="W842" i="1" s="1"/>
  <c r="V841" i="1"/>
  <c r="V842" i="1" s="1"/>
  <c r="U841" i="1"/>
  <c r="U842" i="1" s="1"/>
  <c r="T841" i="1"/>
  <c r="T842" i="1" s="1"/>
  <c r="S841" i="1"/>
  <c r="S842" i="1" s="1"/>
  <c r="R841" i="1"/>
  <c r="P841" i="1"/>
  <c r="Q841" i="1" s="1"/>
  <c r="AR840" i="1"/>
  <c r="AE840" i="1"/>
  <c r="R840" i="1"/>
  <c r="P840" i="1"/>
  <c r="Q840" i="1" s="1"/>
  <c r="BD839" i="1"/>
  <c r="AQ839" i="1"/>
  <c r="AD839" i="1"/>
  <c r="Q839" i="1"/>
  <c r="O836" i="1"/>
  <c r="N836" i="1"/>
  <c r="M836" i="1"/>
  <c r="L836" i="1"/>
  <c r="K836" i="1"/>
  <c r="J836" i="1"/>
  <c r="I836" i="1"/>
  <c r="H836" i="1"/>
  <c r="G836" i="1"/>
  <c r="F836" i="1"/>
  <c r="E836" i="1"/>
  <c r="BC836" i="1"/>
  <c r="BB836" i="1"/>
  <c r="BA836" i="1"/>
  <c r="AZ835" i="1"/>
  <c r="AZ836" i="1" s="1"/>
  <c r="AY835" i="1"/>
  <c r="AY836" i="1" s="1"/>
  <c r="AX835" i="1"/>
  <c r="AX836" i="1" s="1"/>
  <c r="AW835" i="1"/>
  <c r="AV835" i="1"/>
  <c r="AV836" i="1" s="1"/>
  <c r="AU835" i="1"/>
  <c r="AU836" i="1" s="1"/>
  <c r="AT835" i="1"/>
  <c r="AT836" i="1" s="1"/>
  <c r="AS835" i="1"/>
  <c r="AS836" i="1" s="1"/>
  <c r="AR835" i="1"/>
  <c r="AP835" i="1"/>
  <c r="AP836" i="1" s="1"/>
  <c r="AO835" i="1"/>
  <c r="AO836" i="1" s="1"/>
  <c r="AN835" i="1"/>
  <c r="AN836" i="1" s="1"/>
  <c r="AM835" i="1"/>
  <c r="AM836" i="1" s="1"/>
  <c r="AL835" i="1"/>
  <c r="AL836" i="1" s="1"/>
  <c r="AK835" i="1"/>
  <c r="AK836" i="1" s="1"/>
  <c r="AJ835" i="1"/>
  <c r="AJ836" i="1" s="1"/>
  <c r="AI835" i="1"/>
  <c r="AI836" i="1" s="1"/>
  <c r="AH835" i="1"/>
  <c r="AH836" i="1" s="1"/>
  <c r="AG835" i="1"/>
  <c r="AF835" i="1"/>
  <c r="AF836" i="1" s="1"/>
  <c r="AE835" i="1"/>
  <c r="AC835" i="1"/>
  <c r="AC836" i="1" s="1"/>
  <c r="AB835" i="1"/>
  <c r="AB836" i="1" s="1"/>
  <c r="AA835" i="1"/>
  <c r="AA836" i="1" s="1"/>
  <c r="Z835" i="1"/>
  <c r="Z836" i="1" s="1"/>
  <c r="Y835" i="1"/>
  <c r="Y836" i="1" s="1"/>
  <c r="X835" i="1"/>
  <c r="X836" i="1" s="1"/>
  <c r="W835" i="1"/>
  <c r="W836" i="1" s="1"/>
  <c r="V835" i="1"/>
  <c r="V836" i="1" s="1"/>
  <c r="U835" i="1"/>
  <c r="U836" i="1" s="1"/>
  <c r="T835" i="1"/>
  <c r="T836" i="1" s="1"/>
  <c r="S835" i="1"/>
  <c r="S836" i="1" s="1"/>
  <c r="R835" i="1"/>
  <c r="P835" i="1"/>
  <c r="Q835" i="1" s="1"/>
  <c r="AR834" i="1"/>
  <c r="AE834" i="1"/>
  <c r="R834" i="1"/>
  <c r="R1026" i="1" s="1"/>
  <c r="P834" i="1"/>
  <c r="BD833" i="1"/>
  <c r="AQ833" i="1"/>
  <c r="AD833" i="1"/>
  <c r="Q833" i="1"/>
  <c r="O830" i="1"/>
  <c r="N830" i="1"/>
  <c r="M830" i="1"/>
  <c r="L830" i="1"/>
  <c r="K830" i="1"/>
  <c r="J830" i="1"/>
  <c r="I830" i="1"/>
  <c r="H830" i="1"/>
  <c r="G830" i="1"/>
  <c r="F830" i="1"/>
  <c r="E830" i="1"/>
  <c r="BC829" i="1"/>
  <c r="BC830" i="1" s="1"/>
  <c r="BB829" i="1"/>
  <c r="BB830" i="1" s="1"/>
  <c r="BA829" i="1"/>
  <c r="BA830" i="1" s="1"/>
  <c r="AZ829" i="1"/>
  <c r="AZ830" i="1" s="1"/>
  <c r="AY829" i="1"/>
  <c r="AY830" i="1" s="1"/>
  <c r="AX829" i="1"/>
  <c r="AX830" i="1" s="1"/>
  <c r="AW829" i="1"/>
  <c r="AV829" i="1"/>
  <c r="AV830" i="1" s="1"/>
  <c r="AU829" i="1"/>
  <c r="AU830" i="1" s="1"/>
  <c r="AT829" i="1"/>
  <c r="AT830" i="1" s="1"/>
  <c r="AS829" i="1"/>
  <c r="AS830" i="1" s="1"/>
  <c r="AR829" i="1"/>
  <c r="AP829" i="1"/>
  <c r="AP830" i="1" s="1"/>
  <c r="AO829" i="1"/>
  <c r="AO830" i="1" s="1"/>
  <c r="AN829" i="1"/>
  <c r="AN830" i="1" s="1"/>
  <c r="AM829" i="1"/>
  <c r="AM830" i="1" s="1"/>
  <c r="AL829" i="1"/>
  <c r="AL830" i="1" s="1"/>
  <c r="AK829" i="1"/>
  <c r="AK830" i="1" s="1"/>
  <c r="AJ829" i="1"/>
  <c r="AJ830" i="1" s="1"/>
  <c r="AI829" i="1"/>
  <c r="AI830" i="1" s="1"/>
  <c r="AH829" i="1"/>
  <c r="AH830" i="1" s="1"/>
  <c r="AG829" i="1"/>
  <c r="AG830" i="1" s="1"/>
  <c r="AF829" i="1"/>
  <c r="AE829" i="1"/>
  <c r="AE830" i="1" s="1"/>
  <c r="AC829" i="1"/>
  <c r="AC830" i="1" s="1"/>
  <c r="AB829" i="1"/>
  <c r="AB830" i="1" s="1"/>
  <c r="AA829" i="1"/>
  <c r="AA830" i="1" s="1"/>
  <c r="Z829" i="1"/>
  <c r="Z830" i="1" s="1"/>
  <c r="Y829" i="1"/>
  <c r="Y830" i="1" s="1"/>
  <c r="X829" i="1"/>
  <c r="X830" i="1" s="1"/>
  <c r="W829" i="1"/>
  <c r="W830" i="1" s="1"/>
  <c r="V829" i="1"/>
  <c r="U829" i="1"/>
  <c r="U830" i="1" s="1"/>
  <c r="T829" i="1"/>
  <c r="T830" i="1" s="1"/>
  <c r="S829" i="1"/>
  <c r="S830" i="1" s="1"/>
  <c r="R829" i="1"/>
  <c r="R830" i="1" s="1"/>
  <c r="P829" i="1"/>
  <c r="BD828" i="1"/>
  <c r="AQ828" i="1"/>
  <c r="AD828" i="1"/>
  <c r="Q828" i="1"/>
  <c r="BD827" i="1"/>
  <c r="AQ827" i="1"/>
  <c r="AD827" i="1"/>
  <c r="Q827" i="1"/>
  <c r="AC824" i="1"/>
  <c r="AB824" i="1"/>
  <c r="AA824" i="1"/>
  <c r="Z824" i="1"/>
  <c r="Y824" i="1"/>
  <c r="X824" i="1"/>
  <c r="W824" i="1"/>
  <c r="V824" i="1"/>
  <c r="U824" i="1"/>
  <c r="T824" i="1"/>
  <c r="S824" i="1"/>
  <c r="R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BC823" i="1"/>
  <c r="BC824" i="1" s="1"/>
  <c r="BB823" i="1"/>
  <c r="BB824" i="1" s="1"/>
  <c r="BA823" i="1"/>
  <c r="BA824" i="1" s="1"/>
  <c r="AZ823" i="1"/>
  <c r="AZ824" i="1" s="1"/>
  <c r="AY823" i="1"/>
  <c r="AY824" i="1" s="1"/>
  <c r="AX823" i="1"/>
  <c r="AX824" i="1" s="1"/>
  <c r="AW823" i="1"/>
  <c r="AV823" i="1"/>
  <c r="AV824" i="1" s="1"/>
  <c r="AU823" i="1"/>
  <c r="AU824" i="1" s="1"/>
  <c r="AT823" i="1"/>
  <c r="AT824" i="1" s="1"/>
  <c r="AS823" i="1"/>
  <c r="AS824" i="1" s="1"/>
  <c r="AR823" i="1"/>
  <c r="AP823" i="1"/>
  <c r="AP824" i="1" s="1"/>
  <c r="AO823" i="1"/>
  <c r="AO824" i="1" s="1"/>
  <c r="AN823" i="1"/>
  <c r="AN824" i="1" s="1"/>
  <c r="AM823" i="1"/>
  <c r="AM824" i="1" s="1"/>
  <c r="AL823" i="1"/>
  <c r="AL824" i="1" s="1"/>
  <c r="AK823" i="1"/>
  <c r="AK824" i="1" s="1"/>
  <c r="AJ823" i="1"/>
  <c r="AJ824" i="1" s="1"/>
  <c r="AI823" i="1"/>
  <c r="AI824" i="1" s="1"/>
  <c r="AH823" i="1"/>
  <c r="AH824" i="1" s="1"/>
  <c r="AG823" i="1"/>
  <c r="AG824" i="1" s="1"/>
  <c r="AF823" i="1"/>
  <c r="AE823" i="1"/>
  <c r="AE824" i="1" s="1"/>
  <c r="AD823" i="1"/>
  <c r="Q823" i="1"/>
  <c r="BD822" i="1"/>
  <c r="AQ822" i="1"/>
  <c r="AD822" i="1"/>
  <c r="Q822" i="1"/>
  <c r="BD821" i="1"/>
  <c r="AQ821" i="1"/>
  <c r="AD821" i="1"/>
  <c r="Q821" i="1"/>
  <c r="BC818" i="1"/>
  <c r="BB818" i="1"/>
  <c r="BA818" i="1"/>
  <c r="AZ818" i="1"/>
  <c r="AY818" i="1"/>
  <c r="AX818" i="1"/>
  <c r="AW818" i="1"/>
  <c r="AV818" i="1"/>
  <c r="AU818" i="1"/>
  <c r="AT818" i="1"/>
  <c r="AS818" i="1"/>
  <c r="AR818" i="1"/>
  <c r="AP818" i="1"/>
  <c r="AO818" i="1"/>
  <c r="AN818" i="1"/>
  <c r="AM818" i="1"/>
  <c r="AL818" i="1"/>
  <c r="AK818" i="1"/>
  <c r="AJ818" i="1"/>
  <c r="AI818" i="1"/>
  <c r="AH818" i="1"/>
  <c r="AG818" i="1"/>
  <c r="AF818" i="1"/>
  <c r="AE818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BD817" i="1"/>
  <c r="AQ817" i="1"/>
  <c r="AD817" i="1"/>
  <c r="Q817" i="1"/>
  <c r="BD816" i="1"/>
  <c r="AQ816" i="1"/>
  <c r="AD816" i="1"/>
  <c r="Q816" i="1"/>
  <c r="BD815" i="1"/>
  <c r="AQ815" i="1"/>
  <c r="AD815" i="1"/>
  <c r="Q815" i="1"/>
  <c r="AP812" i="1"/>
  <c r="AO812" i="1"/>
  <c r="AN812" i="1"/>
  <c r="AM812" i="1"/>
  <c r="AL812" i="1"/>
  <c r="AK812" i="1"/>
  <c r="AJ812" i="1"/>
  <c r="AI812" i="1"/>
  <c r="AH812" i="1"/>
  <c r="AG812" i="1"/>
  <c r="AF812" i="1"/>
  <c r="AE812" i="1"/>
  <c r="AC812" i="1"/>
  <c r="AB812" i="1"/>
  <c r="AA812" i="1"/>
  <c r="Z812" i="1"/>
  <c r="Y812" i="1"/>
  <c r="X812" i="1"/>
  <c r="W812" i="1"/>
  <c r="V812" i="1"/>
  <c r="U812" i="1"/>
  <c r="T812" i="1"/>
  <c r="S812" i="1"/>
  <c r="R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BC811" i="1"/>
  <c r="BC812" i="1" s="1"/>
  <c r="BB811" i="1"/>
  <c r="BB812" i="1" s="1"/>
  <c r="BA811" i="1"/>
  <c r="BA812" i="1" s="1"/>
  <c r="AZ811" i="1"/>
  <c r="AZ812" i="1" s="1"/>
  <c r="AY811" i="1"/>
  <c r="AY812" i="1" s="1"/>
  <c r="AX811" i="1"/>
  <c r="AX812" i="1" s="1"/>
  <c r="AW811" i="1"/>
  <c r="AV811" i="1"/>
  <c r="AV812" i="1" s="1"/>
  <c r="AU811" i="1"/>
  <c r="AU812" i="1" s="1"/>
  <c r="AT811" i="1"/>
  <c r="AT812" i="1" s="1"/>
  <c r="AS811" i="1"/>
  <c r="AS812" i="1" s="1"/>
  <c r="AR811" i="1"/>
  <c r="AQ811" i="1"/>
  <c r="AD811" i="1"/>
  <c r="Q811" i="1"/>
  <c r="BD810" i="1"/>
  <c r="AQ810" i="1"/>
  <c r="AD810" i="1"/>
  <c r="Q810" i="1"/>
  <c r="BD809" i="1"/>
  <c r="AQ809" i="1"/>
  <c r="AD809" i="1"/>
  <c r="Q809" i="1"/>
  <c r="AP806" i="1"/>
  <c r="AO806" i="1"/>
  <c r="AN806" i="1"/>
  <c r="AM806" i="1"/>
  <c r="AL806" i="1"/>
  <c r="AK806" i="1"/>
  <c r="AJ806" i="1"/>
  <c r="AI806" i="1"/>
  <c r="AH806" i="1"/>
  <c r="AG806" i="1"/>
  <c r="AF806" i="1"/>
  <c r="AE806" i="1"/>
  <c r="AC806" i="1"/>
  <c r="AB806" i="1"/>
  <c r="AA806" i="1"/>
  <c r="Z806" i="1"/>
  <c r="Y806" i="1"/>
  <c r="X806" i="1"/>
  <c r="W806" i="1"/>
  <c r="V806" i="1"/>
  <c r="U806" i="1"/>
  <c r="T806" i="1"/>
  <c r="S806" i="1"/>
  <c r="R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BC805" i="1"/>
  <c r="BC806" i="1" s="1"/>
  <c r="BB805" i="1"/>
  <c r="BB806" i="1" s="1"/>
  <c r="BA805" i="1"/>
  <c r="BA806" i="1" s="1"/>
  <c r="AZ805" i="1"/>
  <c r="AZ806" i="1" s="1"/>
  <c r="AY805" i="1"/>
  <c r="AY806" i="1" s="1"/>
  <c r="AX805" i="1"/>
  <c r="AX806" i="1" s="1"/>
  <c r="AW805" i="1"/>
  <c r="AV805" i="1"/>
  <c r="AV806" i="1" s="1"/>
  <c r="AU805" i="1"/>
  <c r="AU806" i="1" s="1"/>
  <c r="AT805" i="1"/>
  <c r="AT806" i="1" s="1"/>
  <c r="AS805" i="1"/>
  <c r="AR805" i="1"/>
  <c r="AQ805" i="1"/>
  <c r="AD805" i="1"/>
  <c r="Q805" i="1"/>
  <c r="BD804" i="1"/>
  <c r="AQ804" i="1"/>
  <c r="AD804" i="1"/>
  <c r="Q804" i="1"/>
  <c r="BD803" i="1"/>
  <c r="AQ803" i="1"/>
  <c r="AD803" i="1"/>
  <c r="Q803" i="1"/>
  <c r="AP800" i="1"/>
  <c r="AO800" i="1"/>
  <c r="AN800" i="1"/>
  <c r="AM800" i="1"/>
  <c r="AL800" i="1"/>
  <c r="AK800" i="1"/>
  <c r="AJ800" i="1"/>
  <c r="AI800" i="1"/>
  <c r="AH800" i="1"/>
  <c r="AG800" i="1"/>
  <c r="AF800" i="1"/>
  <c r="AE800" i="1"/>
  <c r="AC800" i="1"/>
  <c r="AB800" i="1"/>
  <c r="AA800" i="1"/>
  <c r="Z800" i="1"/>
  <c r="Y800" i="1"/>
  <c r="X800" i="1"/>
  <c r="W800" i="1"/>
  <c r="V800" i="1"/>
  <c r="U800" i="1"/>
  <c r="T800" i="1"/>
  <c r="S800" i="1"/>
  <c r="R800" i="1"/>
  <c r="N800" i="1"/>
  <c r="M800" i="1"/>
  <c r="L800" i="1"/>
  <c r="K800" i="1"/>
  <c r="J800" i="1"/>
  <c r="I800" i="1"/>
  <c r="H800" i="1"/>
  <c r="G800" i="1"/>
  <c r="F800" i="1"/>
  <c r="E800" i="1"/>
  <c r="BC799" i="1"/>
  <c r="BC800" i="1" s="1"/>
  <c r="BB799" i="1"/>
  <c r="BB800" i="1" s="1"/>
  <c r="BA799" i="1"/>
  <c r="BA800" i="1" s="1"/>
  <c r="AZ799" i="1"/>
  <c r="AZ800" i="1" s="1"/>
  <c r="AY799" i="1"/>
  <c r="AY800" i="1" s="1"/>
  <c r="AX799" i="1"/>
  <c r="AX800" i="1" s="1"/>
  <c r="AW799" i="1"/>
  <c r="AV799" i="1"/>
  <c r="AU799" i="1"/>
  <c r="AU800" i="1" s="1"/>
  <c r="AT799" i="1"/>
  <c r="AT800" i="1" s="1"/>
  <c r="AS799" i="1"/>
  <c r="AS800" i="1" s="1"/>
  <c r="AR799" i="1"/>
  <c r="AQ799" i="1"/>
  <c r="AD799" i="1"/>
  <c r="P799" i="1"/>
  <c r="P800" i="1" s="1"/>
  <c r="O799" i="1"/>
  <c r="O800" i="1" s="1"/>
  <c r="BD798" i="1"/>
  <c r="AQ798" i="1"/>
  <c r="AD798" i="1"/>
  <c r="Q798" i="1"/>
  <c r="BD797" i="1"/>
  <c r="AQ797" i="1"/>
  <c r="AD797" i="1"/>
  <c r="Q797" i="1"/>
  <c r="BC794" i="1"/>
  <c r="BB794" i="1"/>
  <c r="BA794" i="1"/>
  <c r="AZ794" i="1"/>
  <c r="AY794" i="1"/>
  <c r="AX794" i="1"/>
  <c r="AP794" i="1"/>
  <c r="AO794" i="1"/>
  <c r="AN794" i="1"/>
  <c r="AM794" i="1"/>
  <c r="AL794" i="1"/>
  <c r="AK794" i="1"/>
  <c r="AJ794" i="1"/>
  <c r="AI794" i="1"/>
  <c r="AH794" i="1"/>
  <c r="AG794" i="1"/>
  <c r="AF794" i="1"/>
  <c r="AE794" i="1"/>
  <c r="AC794" i="1"/>
  <c r="AB794" i="1"/>
  <c r="AA794" i="1"/>
  <c r="Z794" i="1"/>
  <c r="Y794" i="1"/>
  <c r="X794" i="1"/>
  <c r="W794" i="1"/>
  <c r="V794" i="1"/>
  <c r="U794" i="1"/>
  <c r="T794" i="1"/>
  <c r="S794" i="1"/>
  <c r="R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AW793" i="1"/>
  <c r="AV793" i="1"/>
  <c r="AV794" i="1" s="1"/>
  <c r="AU793" i="1"/>
  <c r="AU794" i="1" s="1"/>
  <c r="AT793" i="1"/>
  <c r="AT794" i="1" s="1"/>
  <c r="AS793" i="1"/>
  <c r="AS794" i="1" s="1"/>
  <c r="AR793" i="1"/>
  <c r="AQ793" i="1"/>
  <c r="AD793" i="1"/>
  <c r="Q793" i="1"/>
  <c r="BD792" i="1"/>
  <c r="AQ792" i="1"/>
  <c r="AD792" i="1"/>
  <c r="Q792" i="1"/>
  <c r="BD791" i="1"/>
  <c r="AQ791" i="1"/>
  <c r="AD791" i="1"/>
  <c r="Q791" i="1"/>
  <c r="AB788" i="1"/>
  <c r="AA788" i="1"/>
  <c r="Z788" i="1"/>
  <c r="Y788" i="1"/>
  <c r="X788" i="1"/>
  <c r="W788" i="1"/>
  <c r="V788" i="1"/>
  <c r="U788" i="1"/>
  <c r="T788" i="1"/>
  <c r="S788" i="1"/>
  <c r="R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BC787" i="1"/>
  <c r="BC788" i="1" s="1"/>
  <c r="BB787" i="1"/>
  <c r="BB788" i="1" s="1"/>
  <c r="BA787" i="1"/>
  <c r="BA788" i="1" s="1"/>
  <c r="AZ787" i="1"/>
  <c r="AZ788" i="1" s="1"/>
  <c r="AY787" i="1"/>
  <c r="AY788" i="1" s="1"/>
  <c r="AX787" i="1"/>
  <c r="AX788" i="1" s="1"/>
  <c r="AW787" i="1"/>
  <c r="AV787" i="1"/>
  <c r="AV788" i="1" s="1"/>
  <c r="AU787" i="1"/>
  <c r="AU788" i="1" s="1"/>
  <c r="AT787" i="1"/>
  <c r="AT788" i="1" s="1"/>
  <c r="AS787" i="1"/>
  <c r="AS788" i="1" s="1"/>
  <c r="AR787" i="1"/>
  <c r="AP787" i="1"/>
  <c r="AP788" i="1" s="1"/>
  <c r="AO787" i="1"/>
  <c r="AO788" i="1" s="1"/>
  <c r="AN787" i="1"/>
  <c r="AN788" i="1" s="1"/>
  <c r="AM787" i="1"/>
  <c r="AM788" i="1" s="1"/>
  <c r="AL787" i="1"/>
  <c r="AL788" i="1" s="1"/>
  <c r="AK787" i="1"/>
  <c r="AK788" i="1" s="1"/>
  <c r="AJ787" i="1"/>
  <c r="AJ788" i="1" s="1"/>
  <c r="AI787" i="1"/>
  <c r="AI788" i="1" s="1"/>
  <c r="AH787" i="1"/>
  <c r="AH788" i="1" s="1"/>
  <c r="AG787" i="1"/>
  <c r="AG788" i="1" s="1"/>
  <c r="AF787" i="1"/>
  <c r="AE787" i="1"/>
  <c r="AE788" i="1" s="1"/>
  <c r="AC787" i="1"/>
  <c r="AC788" i="1" s="1"/>
  <c r="Q787" i="1"/>
  <c r="BD786" i="1"/>
  <c r="AQ786" i="1"/>
  <c r="AD786" i="1"/>
  <c r="Q786" i="1"/>
  <c r="BD785" i="1"/>
  <c r="AQ785" i="1"/>
  <c r="AD785" i="1"/>
  <c r="Q785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BC781" i="1"/>
  <c r="BC782" i="1" s="1"/>
  <c r="BB781" i="1"/>
  <c r="BB782" i="1" s="1"/>
  <c r="BA781" i="1"/>
  <c r="BA782" i="1" s="1"/>
  <c r="AZ781" i="1"/>
  <c r="AZ782" i="1" s="1"/>
  <c r="AY781" i="1"/>
  <c r="AY782" i="1" s="1"/>
  <c r="AX781" i="1"/>
  <c r="AX782" i="1" s="1"/>
  <c r="AW781" i="1"/>
  <c r="AV781" i="1"/>
  <c r="AU781" i="1"/>
  <c r="AU782" i="1" s="1"/>
  <c r="AT781" i="1"/>
  <c r="AT782" i="1" s="1"/>
  <c r="AS781" i="1"/>
  <c r="AS782" i="1" s="1"/>
  <c r="AR781" i="1"/>
  <c r="AP781" i="1"/>
  <c r="AP782" i="1" s="1"/>
  <c r="AO781" i="1"/>
  <c r="AO782" i="1" s="1"/>
  <c r="AN781" i="1"/>
  <c r="AN782" i="1" s="1"/>
  <c r="AM781" i="1"/>
  <c r="AM782" i="1" s="1"/>
  <c r="AL781" i="1"/>
  <c r="AL782" i="1" s="1"/>
  <c r="AK781" i="1"/>
  <c r="AK782" i="1" s="1"/>
  <c r="AJ781" i="1"/>
  <c r="AJ782" i="1" s="1"/>
  <c r="AI781" i="1"/>
  <c r="AI782" i="1" s="1"/>
  <c r="AH781" i="1"/>
  <c r="AH782" i="1" s="1"/>
  <c r="AG781" i="1"/>
  <c r="AG782" i="1" s="1"/>
  <c r="AF781" i="1"/>
  <c r="AF782" i="1" s="1"/>
  <c r="AE781" i="1"/>
  <c r="AE782" i="1" s="1"/>
  <c r="AC781" i="1"/>
  <c r="AC782" i="1" s="1"/>
  <c r="AB781" i="1"/>
  <c r="AB782" i="1" s="1"/>
  <c r="AA781" i="1"/>
  <c r="AA782" i="1" s="1"/>
  <c r="Z781" i="1"/>
  <c r="Z782" i="1" s="1"/>
  <c r="Y781" i="1"/>
  <c r="Y782" i="1" s="1"/>
  <c r="X781" i="1"/>
  <c r="X782" i="1" s="1"/>
  <c r="W781" i="1"/>
  <c r="W782" i="1" s="1"/>
  <c r="V781" i="1"/>
  <c r="V782" i="1" s="1"/>
  <c r="U781" i="1"/>
  <c r="U782" i="1" s="1"/>
  <c r="T781" i="1"/>
  <c r="T782" i="1" s="1"/>
  <c r="S781" i="1"/>
  <c r="S782" i="1" s="1"/>
  <c r="R781" i="1"/>
  <c r="Q781" i="1"/>
  <c r="BD780" i="1"/>
  <c r="AQ780" i="1"/>
  <c r="AD780" i="1"/>
  <c r="Q780" i="1"/>
  <c r="BD779" i="1"/>
  <c r="AQ779" i="1"/>
  <c r="AD779" i="1"/>
  <c r="Q779" i="1"/>
  <c r="W776" i="1"/>
  <c r="V776" i="1"/>
  <c r="U776" i="1"/>
  <c r="T776" i="1"/>
  <c r="S776" i="1"/>
  <c r="R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BC775" i="1"/>
  <c r="BC776" i="1" s="1"/>
  <c r="BB775" i="1"/>
  <c r="BB776" i="1" s="1"/>
  <c r="BA775" i="1"/>
  <c r="BA776" i="1" s="1"/>
  <c r="AZ775" i="1"/>
  <c r="AZ776" i="1" s="1"/>
  <c r="AY775" i="1"/>
  <c r="AY776" i="1" s="1"/>
  <c r="AX775" i="1"/>
  <c r="AX776" i="1" s="1"/>
  <c r="AW775" i="1"/>
  <c r="AV775" i="1"/>
  <c r="AV776" i="1" s="1"/>
  <c r="AU775" i="1"/>
  <c r="AU776" i="1" s="1"/>
  <c r="AT775" i="1"/>
  <c r="AT776" i="1" s="1"/>
  <c r="AS775" i="1"/>
  <c r="AS776" i="1" s="1"/>
  <c r="AR775" i="1"/>
  <c r="AP775" i="1"/>
  <c r="AP776" i="1" s="1"/>
  <c r="AO775" i="1"/>
  <c r="AO776" i="1" s="1"/>
  <c r="AN775" i="1"/>
  <c r="AN776" i="1" s="1"/>
  <c r="AM775" i="1"/>
  <c r="AM776" i="1" s="1"/>
  <c r="AL775" i="1"/>
  <c r="AL776" i="1" s="1"/>
  <c r="AK775" i="1"/>
  <c r="AK776" i="1" s="1"/>
  <c r="AJ775" i="1"/>
  <c r="AJ776" i="1" s="1"/>
  <c r="AI775" i="1"/>
  <c r="AI776" i="1" s="1"/>
  <c r="AH775" i="1"/>
  <c r="AH776" i="1" s="1"/>
  <c r="AG775" i="1"/>
  <c r="AG776" i="1" s="1"/>
  <c r="AF775" i="1"/>
  <c r="AF776" i="1" s="1"/>
  <c r="AE775" i="1"/>
  <c r="AC775" i="1"/>
  <c r="AC776" i="1" s="1"/>
  <c r="AB775" i="1"/>
  <c r="AB776" i="1" s="1"/>
  <c r="AA775" i="1"/>
  <c r="AA776" i="1" s="1"/>
  <c r="Z775" i="1"/>
  <c r="Z776" i="1" s="1"/>
  <c r="Y775" i="1"/>
  <c r="Y776" i="1" s="1"/>
  <c r="X775" i="1"/>
  <c r="X776" i="1" s="1"/>
  <c r="Q775" i="1"/>
  <c r="BD774" i="1"/>
  <c r="AQ774" i="1"/>
  <c r="AD774" i="1"/>
  <c r="Q774" i="1"/>
  <c r="BD773" i="1"/>
  <c r="AQ773" i="1"/>
  <c r="AD773" i="1"/>
  <c r="Q773" i="1"/>
  <c r="J770" i="1"/>
  <c r="I770" i="1"/>
  <c r="H770" i="1"/>
  <c r="G770" i="1"/>
  <c r="F770" i="1"/>
  <c r="E770" i="1"/>
  <c r="BC769" i="1"/>
  <c r="BC770" i="1" s="1"/>
  <c r="BB769" i="1"/>
  <c r="BB770" i="1" s="1"/>
  <c r="BA769" i="1"/>
  <c r="BA770" i="1" s="1"/>
  <c r="AZ769" i="1"/>
  <c r="AZ770" i="1" s="1"/>
  <c r="AY769" i="1"/>
  <c r="AY770" i="1" s="1"/>
  <c r="AX769" i="1"/>
  <c r="AX770" i="1" s="1"/>
  <c r="AW769" i="1"/>
  <c r="AV769" i="1"/>
  <c r="AV770" i="1" s="1"/>
  <c r="AU769" i="1"/>
  <c r="AU770" i="1" s="1"/>
  <c r="AT769" i="1"/>
  <c r="AT770" i="1" s="1"/>
  <c r="AS769" i="1"/>
  <c r="AS770" i="1" s="1"/>
  <c r="AR769" i="1"/>
  <c r="AP769" i="1"/>
  <c r="AP770" i="1" s="1"/>
  <c r="AO769" i="1"/>
  <c r="AO770" i="1" s="1"/>
  <c r="AN769" i="1"/>
  <c r="AN770" i="1" s="1"/>
  <c r="AM769" i="1"/>
  <c r="AM770" i="1" s="1"/>
  <c r="AL769" i="1"/>
  <c r="AL770" i="1" s="1"/>
  <c r="AK769" i="1"/>
  <c r="AK770" i="1" s="1"/>
  <c r="AJ769" i="1"/>
  <c r="AJ770" i="1" s="1"/>
  <c r="AI769" i="1"/>
  <c r="AI770" i="1" s="1"/>
  <c r="AH769" i="1"/>
  <c r="AH770" i="1" s="1"/>
  <c r="AG769" i="1"/>
  <c r="AG770" i="1" s="1"/>
  <c r="AF769" i="1"/>
  <c r="AF770" i="1" s="1"/>
  <c r="AE769" i="1"/>
  <c r="AE770" i="1" s="1"/>
  <c r="AC769" i="1"/>
  <c r="AC770" i="1" s="1"/>
  <c r="AB769" i="1"/>
  <c r="AB770" i="1" s="1"/>
  <c r="AA769" i="1"/>
  <c r="AA770" i="1" s="1"/>
  <c r="Z769" i="1"/>
  <c r="Z770" i="1" s="1"/>
  <c r="Y769" i="1"/>
  <c r="Y770" i="1" s="1"/>
  <c r="X769" i="1"/>
  <c r="X770" i="1" s="1"/>
  <c r="W769" i="1"/>
  <c r="W770" i="1" s="1"/>
  <c r="V769" i="1"/>
  <c r="V770" i="1" s="1"/>
  <c r="U769" i="1"/>
  <c r="U770" i="1" s="1"/>
  <c r="T769" i="1"/>
  <c r="T770" i="1" s="1"/>
  <c r="S769" i="1"/>
  <c r="S770" i="1" s="1"/>
  <c r="R769" i="1"/>
  <c r="R770" i="1" s="1"/>
  <c r="P769" i="1"/>
  <c r="P770" i="1" s="1"/>
  <c r="O769" i="1"/>
  <c r="O770" i="1" s="1"/>
  <c r="N769" i="1"/>
  <c r="N770" i="1" s="1"/>
  <c r="M769" i="1"/>
  <c r="M770" i="1" s="1"/>
  <c r="L769" i="1"/>
  <c r="K769" i="1"/>
  <c r="K770" i="1" s="1"/>
  <c r="BD768" i="1"/>
  <c r="AQ768" i="1"/>
  <c r="AD768" i="1"/>
  <c r="Q768" i="1"/>
  <c r="BD767" i="1"/>
  <c r="AQ767" i="1"/>
  <c r="AD767" i="1"/>
  <c r="Q767" i="1"/>
  <c r="AP764" i="1"/>
  <c r="AO764" i="1"/>
  <c r="AN764" i="1"/>
  <c r="AM764" i="1"/>
  <c r="AL764" i="1"/>
  <c r="AK764" i="1"/>
  <c r="AJ764" i="1"/>
  <c r="AI764" i="1"/>
  <c r="AH764" i="1"/>
  <c r="AG764" i="1"/>
  <c r="AF764" i="1"/>
  <c r="AE764" i="1"/>
  <c r="AC764" i="1"/>
  <c r="AB764" i="1"/>
  <c r="AA764" i="1"/>
  <c r="Z764" i="1"/>
  <c r="Y764" i="1"/>
  <c r="X764" i="1"/>
  <c r="W764" i="1"/>
  <c r="V764" i="1"/>
  <c r="U764" i="1"/>
  <c r="T764" i="1"/>
  <c r="S764" i="1"/>
  <c r="R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BC763" i="1"/>
  <c r="BC764" i="1" s="1"/>
  <c r="BB763" i="1"/>
  <c r="BB764" i="1" s="1"/>
  <c r="BA763" i="1"/>
  <c r="BA764" i="1" s="1"/>
  <c r="AZ763" i="1"/>
  <c r="AZ764" i="1" s="1"/>
  <c r="AY763" i="1"/>
  <c r="AY764" i="1" s="1"/>
  <c r="AX763" i="1"/>
  <c r="AX764" i="1" s="1"/>
  <c r="AW763" i="1"/>
  <c r="AV763" i="1"/>
  <c r="AV764" i="1" s="1"/>
  <c r="AU763" i="1"/>
  <c r="AU764" i="1" s="1"/>
  <c r="AT763" i="1"/>
  <c r="AT764" i="1" s="1"/>
  <c r="AS763" i="1"/>
  <c r="AS764" i="1" s="1"/>
  <c r="AR763" i="1"/>
  <c r="AQ763" i="1"/>
  <c r="AD763" i="1"/>
  <c r="Q763" i="1"/>
  <c r="BD762" i="1"/>
  <c r="AQ762" i="1"/>
  <c r="AD762" i="1"/>
  <c r="Q762" i="1"/>
  <c r="BD761" i="1"/>
  <c r="AQ761" i="1"/>
  <c r="AD761" i="1"/>
  <c r="Q761" i="1"/>
  <c r="BC758" i="1"/>
  <c r="BB758" i="1"/>
  <c r="BA758" i="1"/>
  <c r="AZ758" i="1"/>
  <c r="AY758" i="1"/>
  <c r="AX758" i="1"/>
  <c r="AW758" i="1"/>
  <c r="AV758" i="1"/>
  <c r="AU758" i="1"/>
  <c r="AT758" i="1"/>
  <c r="AS758" i="1"/>
  <c r="AR758" i="1"/>
  <c r="AP758" i="1"/>
  <c r="AO758" i="1"/>
  <c r="AN758" i="1"/>
  <c r="AM758" i="1"/>
  <c r="AL758" i="1"/>
  <c r="AK758" i="1"/>
  <c r="AJ758" i="1"/>
  <c r="AI758" i="1"/>
  <c r="AH758" i="1"/>
  <c r="AG758" i="1"/>
  <c r="AF758" i="1"/>
  <c r="AE758" i="1"/>
  <c r="AC758" i="1"/>
  <c r="AB758" i="1"/>
  <c r="AA758" i="1"/>
  <c r="Z758" i="1"/>
  <c r="Y758" i="1"/>
  <c r="X758" i="1"/>
  <c r="W758" i="1"/>
  <c r="V758" i="1"/>
  <c r="U758" i="1"/>
  <c r="T758" i="1"/>
  <c r="S758" i="1"/>
  <c r="R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BD757" i="1"/>
  <c r="AQ757" i="1"/>
  <c r="AD757" i="1"/>
  <c r="Q757" i="1"/>
  <c r="BD756" i="1"/>
  <c r="AQ756" i="1"/>
  <c r="AD756" i="1"/>
  <c r="Q756" i="1"/>
  <c r="BD755" i="1"/>
  <c r="AQ755" i="1"/>
  <c r="AD755" i="1"/>
  <c r="Q755" i="1"/>
  <c r="AP752" i="1"/>
  <c r="AO752" i="1"/>
  <c r="AN752" i="1"/>
  <c r="AM752" i="1"/>
  <c r="AL752" i="1"/>
  <c r="AK752" i="1"/>
  <c r="AJ752" i="1"/>
  <c r="AI752" i="1"/>
  <c r="AH752" i="1"/>
  <c r="AG752" i="1"/>
  <c r="AF752" i="1"/>
  <c r="AE752" i="1"/>
  <c r="AC752" i="1"/>
  <c r="AB752" i="1"/>
  <c r="AA752" i="1"/>
  <c r="Z752" i="1"/>
  <c r="Y752" i="1"/>
  <c r="X752" i="1"/>
  <c r="W752" i="1"/>
  <c r="V752" i="1"/>
  <c r="U752" i="1"/>
  <c r="T752" i="1"/>
  <c r="S752" i="1"/>
  <c r="R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AQ751" i="1"/>
  <c r="AD751" i="1"/>
  <c r="Q751" i="1"/>
  <c r="AQ750" i="1"/>
  <c r="AD750" i="1"/>
  <c r="Q750" i="1"/>
  <c r="AQ749" i="1"/>
  <c r="AD749" i="1"/>
  <c r="Q749" i="1"/>
  <c r="AP746" i="1"/>
  <c r="AO746" i="1"/>
  <c r="AN746" i="1"/>
  <c r="AM746" i="1"/>
  <c r="AL746" i="1"/>
  <c r="AK746" i="1"/>
  <c r="AJ746" i="1"/>
  <c r="AI746" i="1"/>
  <c r="AH746" i="1"/>
  <c r="AG746" i="1"/>
  <c r="AF746" i="1"/>
  <c r="AE746" i="1"/>
  <c r="AC746" i="1"/>
  <c r="AB746" i="1"/>
  <c r="AA746" i="1"/>
  <c r="Z746" i="1"/>
  <c r="Y746" i="1"/>
  <c r="X746" i="1"/>
  <c r="W746" i="1"/>
  <c r="V746" i="1"/>
  <c r="U746" i="1"/>
  <c r="T746" i="1"/>
  <c r="S746" i="1"/>
  <c r="R746" i="1"/>
  <c r="J746" i="1"/>
  <c r="I746" i="1"/>
  <c r="H746" i="1"/>
  <c r="G746" i="1"/>
  <c r="F746" i="1"/>
  <c r="E746" i="1"/>
  <c r="BC745" i="1"/>
  <c r="BC746" i="1" s="1"/>
  <c r="BB745" i="1"/>
  <c r="BB746" i="1" s="1"/>
  <c r="BA745" i="1"/>
  <c r="BA746" i="1" s="1"/>
  <c r="AZ745" i="1"/>
  <c r="AZ746" i="1" s="1"/>
  <c r="AY745" i="1"/>
  <c r="AY746" i="1" s="1"/>
  <c r="AX745" i="1"/>
  <c r="AX746" i="1" s="1"/>
  <c r="AW745" i="1"/>
  <c r="AV745" i="1"/>
  <c r="AV746" i="1" s="1"/>
  <c r="AU745" i="1"/>
  <c r="AU746" i="1" s="1"/>
  <c r="AT745" i="1"/>
  <c r="AT746" i="1" s="1"/>
  <c r="AS745" i="1"/>
  <c r="AS746" i="1" s="1"/>
  <c r="AR745" i="1"/>
  <c r="AQ745" i="1"/>
  <c r="AD745" i="1"/>
  <c r="P745" i="1"/>
  <c r="P746" i="1" s="1"/>
  <c r="O745" i="1"/>
  <c r="O746" i="1" s="1"/>
  <c r="N745" i="1"/>
  <c r="N746" i="1" s="1"/>
  <c r="M745" i="1"/>
  <c r="M746" i="1" s="1"/>
  <c r="L745" i="1"/>
  <c r="L746" i="1" s="1"/>
  <c r="K745" i="1"/>
  <c r="BD744" i="1"/>
  <c r="AQ744" i="1"/>
  <c r="AD744" i="1"/>
  <c r="Q744" i="1"/>
  <c r="BD743" i="1"/>
  <c r="AQ743" i="1"/>
  <c r="AD743" i="1"/>
  <c r="Q743" i="1"/>
  <c r="AP740" i="1"/>
  <c r="AO740" i="1"/>
  <c r="AN740" i="1"/>
  <c r="AM740" i="1"/>
  <c r="AL740" i="1"/>
  <c r="AK740" i="1"/>
  <c r="AJ740" i="1"/>
  <c r="AI740" i="1"/>
  <c r="AH740" i="1"/>
  <c r="AG740" i="1"/>
  <c r="AF740" i="1"/>
  <c r="AE740" i="1"/>
  <c r="AC740" i="1"/>
  <c r="AB740" i="1"/>
  <c r="AA740" i="1"/>
  <c r="Z740" i="1"/>
  <c r="Y740" i="1"/>
  <c r="X740" i="1"/>
  <c r="W740" i="1"/>
  <c r="V740" i="1"/>
  <c r="U740" i="1"/>
  <c r="T740" i="1"/>
  <c r="S740" i="1"/>
  <c r="R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AQ739" i="1"/>
  <c r="AD739" i="1"/>
  <c r="Q739" i="1"/>
  <c r="AQ738" i="1"/>
  <c r="AD738" i="1"/>
  <c r="Q738" i="1"/>
  <c r="AQ737" i="1"/>
  <c r="AD737" i="1"/>
  <c r="Q737" i="1"/>
  <c r="T734" i="1"/>
  <c r="S734" i="1"/>
  <c r="R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BC733" i="1"/>
  <c r="BC734" i="1" s="1"/>
  <c r="BB733" i="1"/>
  <c r="BB734" i="1" s="1"/>
  <c r="BA733" i="1"/>
  <c r="BA734" i="1" s="1"/>
  <c r="AZ733" i="1"/>
  <c r="AZ734" i="1" s="1"/>
  <c r="AY733" i="1"/>
  <c r="AY734" i="1" s="1"/>
  <c r="AX733" i="1"/>
  <c r="AX734" i="1" s="1"/>
  <c r="AW733" i="1"/>
  <c r="AV733" i="1"/>
  <c r="AV734" i="1" s="1"/>
  <c r="AU733" i="1"/>
  <c r="AU734" i="1" s="1"/>
  <c r="AT733" i="1"/>
  <c r="AT734" i="1" s="1"/>
  <c r="AS733" i="1"/>
  <c r="AS734" i="1" s="1"/>
  <c r="AR733" i="1"/>
  <c r="AP733" i="1"/>
  <c r="AP734" i="1" s="1"/>
  <c r="AO733" i="1"/>
  <c r="AO734" i="1" s="1"/>
  <c r="AN733" i="1"/>
  <c r="AN734" i="1" s="1"/>
  <c r="AM733" i="1"/>
  <c r="AM734" i="1" s="1"/>
  <c r="AL733" i="1"/>
  <c r="AL734" i="1" s="1"/>
  <c r="AK733" i="1"/>
  <c r="AK734" i="1" s="1"/>
  <c r="AJ733" i="1"/>
  <c r="AJ734" i="1" s="1"/>
  <c r="AI733" i="1"/>
  <c r="AI734" i="1" s="1"/>
  <c r="AH733" i="1"/>
  <c r="AH734" i="1" s="1"/>
  <c r="AG733" i="1"/>
  <c r="AG734" i="1" s="1"/>
  <c r="AF733" i="1"/>
  <c r="AF734" i="1" s="1"/>
  <c r="AE733" i="1"/>
  <c r="AE734" i="1" s="1"/>
  <c r="AC733" i="1"/>
  <c r="AC734" i="1" s="1"/>
  <c r="AB733" i="1"/>
  <c r="AB734" i="1" s="1"/>
  <c r="AA733" i="1"/>
  <c r="AA734" i="1" s="1"/>
  <c r="Z733" i="1"/>
  <c r="Z734" i="1" s="1"/>
  <c r="Y733" i="1"/>
  <c r="Y734" i="1" s="1"/>
  <c r="X733" i="1"/>
  <c r="X734" i="1" s="1"/>
  <c r="W733" i="1"/>
  <c r="W734" i="1" s="1"/>
  <c r="V733" i="1"/>
  <c r="V734" i="1" s="1"/>
  <c r="U733" i="1"/>
  <c r="U734" i="1" s="1"/>
  <c r="Q733" i="1"/>
  <c r="BD732" i="1"/>
  <c r="AQ732" i="1"/>
  <c r="AD732" i="1"/>
  <c r="Q732" i="1"/>
  <c r="BD731" i="1"/>
  <c r="AQ731" i="1"/>
  <c r="AD731" i="1"/>
  <c r="Q731" i="1"/>
  <c r="H728" i="1"/>
  <c r="G728" i="1"/>
  <c r="F728" i="1"/>
  <c r="E728" i="1"/>
  <c r="BC727" i="1"/>
  <c r="BC728" i="1" s="1"/>
  <c r="BB727" i="1"/>
  <c r="BB728" i="1" s="1"/>
  <c r="BA727" i="1"/>
  <c r="BA728" i="1" s="1"/>
  <c r="AZ727" i="1"/>
  <c r="AZ728" i="1" s="1"/>
  <c r="AY727" i="1"/>
  <c r="AY728" i="1" s="1"/>
  <c r="AX727" i="1"/>
  <c r="AX728" i="1" s="1"/>
  <c r="AW727" i="1"/>
  <c r="AV727" i="1"/>
  <c r="AV728" i="1" s="1"/>
  <c r="AU727" i="1"/>
  <c r="AU728" i="1" s="1"/>
  <c r="AT727" i="1"/>
  <c r="AT728" i="1" s="1"/>
  <c r="AS727" i="1"/>
  <c r="AS728" i="1" s="1"/>
  <c r="AR727" i="1"/>
  <c r="AP727" i="1"/>
  <c r="AP728" i="1" s="1"/>
  <c r="AO727" i="1"/>
  <c r="AO728" i="1" s="1"/>
  <c r="AN727" i="1"/>
  <c r="AN728" i="1" s="1"/>
  <c r="AM727" i="1"/>
  <c r="AM728" i="1" s="1"/>
  <c r="AL727" i="1"/>
  <c r="AL728" i="1" s="1"/>
  <c r="AK727" i="1"/>
  <c r="AK728" i="1" s="1"/>
  <c r="AJ727" i="1"/>
  <c r="AJ728" i="1" s="1"/>
  <c r="AI727" i="1"/>
  <c r="AH727" i="1"/>
  <c r="AH728" i="1" s="1"/>
  <c r="AG727" i="1"/>
  <c r="AG728" i="1" s="1"/>
  <c r="AF727" i="1"/>
  <c r="AF728" i="1" s="1"/>
  <c r="AE727" i="1"/>
  <c r="AE728" i="1" s="1"/>
  <c r="AC727" i="1"/>
  <c r="AC728" i="1" s="1"/>
  <c r="AB727" i="1"/>
  <c r="AB728" i="1" s="1"/>
  <c r="AA727" i="1"/>
  <c r="AA728" i="1" s="1"/>
  <c r="Z727" i="1"/>
  <c r="Z728" i="1" s="1"/>
  <c r="Y727" i="1"/>
  <c r="Y728" i="1" s="1"/>
  <c r="X727" i="1"/>
  <c r="X728" i="1" s="1"/>
  <c r="W727" i="1"/>
  <c r="W728" i="1" s="1"/>
  <c r="V727" i="1"/>
  <c r="V728" i="1" s="1"/>
  <c r="U727" i="1"/>
  <c r="U728" i="1" s="1"/>
  <c r="T727" i="1"/>
  <c r="T728" i="1" s="1"/>
  <c r="S727" i="1"/>
  <c r="S728" i="1" s="1"/>
  <c r="R727" i="1"/>
  <c r="R728" i="1" s="1"/>
  <c r="P727" i="1"/>
  <c r="P728" i="1" s="1"/>
  <c r="O727" i="1"/>
  <c r="O728" i="1" s="1"/>
  <c r="N727" i="1"/>
  <c r="N728" i="1" s="1"/>
  <c r="M727" i="1"/>
  <c r="M728" i="1" s="1"/>
  <c r="L727" i="1"/>
  <c r="L728" i="1" s="1"/>
  <c r="K727" i="1"/>
  <c r="K728" i="1" s="1"/>
  <c r="J727" i="1"/>
  <c r="J728" i="1" s="1"/>
  <c r="I727" i="1"/>
  <c r="I728" i="1" s="1"/>
  <c r="BD726" i="1"/>
  <c r="AQ726" i="1"/>
  <c r="AD726" i="1"/>
  <c r="Q726" i="1"/>
  <c r="BD725" i="1"/>
  <c r="AQ725" i="1"/>
  <c r="AD725" i="1"/>
  <c r="Q725" i="1"/>
  <c r="H722" i="1"/>
  <c r="G722" i="1"/>
  <c r="F722" i="1"/>
  <c r="E722" i="1"/>
  <c r="BC721" i="1"/>
  <c r="BC722" i="1" s="1"/>
  <c r="BB721" i="1"/>
  <c r="BB722" i="1" s="1"/>
  <c r="BA721" i="1"/>
  <c r="BA722" i="1" s="1"/>
  <c r="AZ721" i="1"/>
  <c r="AZ722" i="1" s="1"/>
  <c r="AY721" i="1"/>
  <c r="AY722" i="1" s="1"/>
  <c r="AX721" i="1"/>
  <c r="AX722" i="1" s="1"/>
  <c r="AW721" i="1"/>
  <c r="AV721" i="1"/>
  <c r="AU721" i="1"/>
  <c r="AU722" i="1" s="1"/>
  <c r="AT721" i="1"/>
  <c r="AT722" i="1" s="1"/>
  <c r="AS721" i="1"/>
  <c r="AS722" i="1" s="1"/>
  <c r="AR721" i="1"/>
  <c r="AP721" i="1"/>
  <c r="AP722" i="1" s="1"/>
  <c r="AO721" i="1"/>
  <c r="AO722" i="1" s="1"/>
  <c r="AN721" i="1"/>
  <c r="AN722" i="1" s="1"/>
  <c r="AM721" i="1"/>
  <c r="AM722" i="1" s="1"/>
  <c r="AL721" i="1"/>
  <c r="AL722" i="1" s="1"/>
  <c r="AK721" i="1"/>
  <c r="AK722" i="1" s="1"/>
  <c r="AJ721" i="1"/>
  <c r="AJ722" i="1" s="1"/>
  <c r="AI721" i="1"/>
  <c r="AI722" i="1" s="1"/>
  <c r="AH721" i="1"/>
  <c r="AH722" i="1" s="1"/>
  <c r="AG721" i="1"/>
  <c r="AG722" i="1" s="1"/>
  <c r="AF721" i="1"/>
  <c r="AF722" i="1" s="1"/>
  <c r="AE721" i="1"/>
  <c r="AE722" i="1" s="1"/>
  <c r="AC721" i="1"/>
  <c r="AC722" i="1" s="1"/>
  <c r="AB721" i="1"/>
  <c r="AB722" i="1" s="1"/>
  <c r="AA721" i="1"/>
  <c r="AA722" i="1" s="1"/>
  <c r="Z721" i="1"/>
  <c r="Z722" i="1" s="1"/>
  <c r="Y721" i="1"/>
  <c r="Y722" i="1" s="1"/>
  <c r="X721" i="1"/>
  <c r="X722" i="1" s="1"/>
  <c r="W721" i="1"/>
  <c r="W722" i="1" s="1"/>
  <c r="V721" i="1"/>
  <c r="V722" i="1" s="1"/>
  <c r="U721" i="1"/>
  <c r="U722" i="1" s="1"/>
  <c r="T721" i="1"/>
  <c r="T722" i="1" s="1"/>
  <c r="S721" i="1"/>
  <c r="S722" i="1" s="1"/>
  <c r="R721" i="1"/>
  <c r="P721" i="1"/>
  <c r="P722" i="1" s="1"/>
  <c r="O721" i="1"/>
  <c r="O722" i="1" s="1"/>
  <c r="N721" i="1"/>
  <c r="N722" i="1" s="1"/>
  <c r="M721" i="1"/>
  <c r="M722" i="1" s="1"/>
  <c r="L721" i="1"/>
  <c r="L722" i="1" s="1"/>
  <c r="K721" i="1"/>
  <c r="K722" i="1" s="1"/>
  <c r="J721" i="1"/>
  <c r="J722" i="1" s="1"/>
  <c r="I721" i="1"/>
  <c r="I722" i="1" s="1"/>
  <c r="BD720" i="1"/>
  <c r="AQ720" i="1"/>
  <c r="AD720" i="1"/>
  <c r="Q720" i="1"/>
  <c r="BD719" i="1"/>
  <c r="AQ719" i="1"/>
  <c r="AD719" i="1"/>
  <c r="Q719" i="1"/>
  <c r="G716" i="1"/>
  <c r="F716" i="1"/>
  <c r="E716" i="1"/>
  <c r="BC715" i="1"/>
  <c r="BC716" i="1" s="1"/>
  <c r="BB715" i="1"/>
  <c r="BB716" i="1" s="1"/>
  <c r="BA715" i="1"/>
  <c r="BA716" i="1" s="1"/>
  <c r="AZ715" i="1"/>
  <c r="AZ716" i="1" s="1"/>
  <c r="AY715" i="1"/>
  <c r="AY716" i="1" s="1"/>
  <c r="AX715" i="1"/>
  <c r="AX716" i="1" s="1"/>
  <c r="AW715" i="1"/>
  <c r="AV715" i="1"/>
  <c r="AV716" i="1" s="1"/>
  <c r="AU715" i="1"/>
  <c r="AU716" i="1" s="1"/>
  <c r="AT715" i="1"/>
  <c r="AT716" i="1" s="1"/>
  <c r="AS715" i="1"/>
  <c r="AS716" i="1" s="1"/>
  <c r="AR715" i="1"/>
  <c r="AP715" i="1"/>
  <c r="AP716" i="1" s="1"/>
  <c r="AO715" i="1"/>
  <c r="AO716" i="1" s="1"/>
  <c r="AN715" i="1"/>
  <c r="AN716" i="1" s="1"/>
  <c r="AM715" i="1"/>
  <c r="AM716" i="1" s="1"/>
  <c r="AL715" i="1"/>
  <c r="AL716" i="1" s="1"/>
  <c r="AK715" i="1"/>
  <c r="AK716" i="1" s="1"/>
  <c r="AJ715" i="1"/>
  <c r="AJ716" i="1" s="1"/>
  <c r="AI715" i="1"/>
  <c r="AI716" i="1" s="1"/>
  <c r="AH715" i="1"/>
  <c r="AH716" i="1" s="1"/>
  <c r="AG715" i="1"/>
  <c r="AG716" i="1" s="1"/>
  <c r="AF715" i="1"/>
  <c r="AF716" i="1" s="1"/>
  <c r="AE715" i="1"/>
  <c r="AC715" i="1"/>
  <c r="AC716" i="1" s="1"/>
  <c r="AB715" i="1"/>
  <c r="AB716" i="1" s="1"/>
  <c r="AA715" i="1"/>
  <c r="AA716" i="1" s="1"/>
  <c r="Z715" i="1"/>
  <c r="Z716" i="1" s="1"/>
  <c r="Y715" i="1"/>
  <c r="Y716" i="1" s="1"/>
  <c r="X715" i="1"/>
  <c r="X716" i="1" s="1"/>
  <c r="W715" i="1"/>
  <c r="W716" i="1" s="1"/>
  <c r="V715" i="1"/>
  <c r="V716" i="1" s="1"/>
  <c r="U715" i="1"/>
  <c r="U716" i="1" s="1"/>
  <c r="T715" i="1"/>
  <c r="T716" i="1" s="1"/>
  <c r="S715" i="1"/>
  <c r="S716" i="1" s="1"/>
  <c r="R715" i="1"/>
  <c r="R716" i="1" s="1"/>
  <c r="P715" i="1"/>
  <c r="P716" i="1" s="1"/>
  <c r="O715" i="1"/>
  <c r="O716" i="1" s="1"/>
  <c r="N715" i="1"/>
  <c r="N716" i="1" s="1"/>
  <c r="M715" i="1"/>
  <c r="M716" i="1" s="1"/>
  <c r="L715" i="1"/>
  <c r="L716" i="1" s="1"/>
  <c r="K715" i="1"/>
  <c r="K716" i="1" s="1"/>
  <c r="J715" i="1"/>
  <c r="J716" i="1" s="1"/>
  <c r="I715" i="1"/>
  <c r="I716" i="1" s="1"/>
  <c r="H715" i="1"/>
  <c r="H716" i="1" s="1"/>
  <c r="BD714" i="1"/>
  <c r="AQ714" i="1"/>
  <c r="AD714" i="1"/>
  <c r="Q714" i="1"/>
  <c r="BD713" i="1"/>
  <c r="AQ713" i="1"/>
  <c r="AD713" i="1"/>
  <c r="Q713" i="1"/>
  <c r="AP710" i="1"/>
  <c r="AO710" i="1"/>
  <c r="AN710" i="1"/>
  <c r="AM710" i="1"/>
  <c r="AL710" i="1"/>
  <c r="AK710" i="1"/>
  <c r="AJ710" i="1"/>
  <c r="AI710" i="1"/>
  <c r="AH710" i="1"/>
  <c r="AG710" i="1"/>
  <c r="AF710" i="1"/>
  <c r="AE710" i="1"/>
  <c r="AC710" i="1"/>
  <c r="AB710" i="1"/>
  <c r="AA710" i="1"/>
  <c r="Z710" i="1"/>
  <c r="Y710" i="1"/>
  <c r="X710" i="1"/>
  <c r="W710" i="1"/>
  <c r="V710" i="1"/>
  <c r="U710" i="1"/>
  <c r="T710" i="1"/>
  <c r="S710" i="1"/>
  <c r="R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BC709" i="1"/>
  <c r="BC710" i="1" s="1"/>
  <c r="BB709" i="1"/>
  <c r="BB710" i="1" s="1"/>
  <c r="BA709" i="1"/>
  <c r="BA710" i="1" s="1"/>
  <c r="AZ709" i="1"/>
  <c r="AZ710" i="1" s="1"/>
  <c r="AY709" i="1"/>
  <c r="AY710" i="1" s="1"/>
  <c r="AX709" i="1"/>
  <c r="AX710" i="1" s="1"/>
  <c r="AW709" i="1"/>
  <c r="AV709" i="1"/>
  <c r="AV710" i="1" s="1"/>
  <c r="AU709" i="1"/>
  <c r="AU710" i="1" s="1"/>
  <c r="AT709" i="1"/>
  <c r="AT710" i="1" s="1"/>
  <c r="AS709" i="1"/>
  <c r="AS710" i="1" s="1"/>
  <c r="AR709" i="1"/>
  <c r="AQ709" i="1"/>
  <c r="AD709" i="1"/>
  <c r="Q709" i="1"/>
  <c r="BD708" i="1"/>
  <c r="AQ708" i="1"/>
  <c r="AD708" i="1"/>
  <c r="Q708" i="1"/>
  <c r="BD707" i="1"/>
  <c r="AQ707" i="1"/>
  <c r="AD707" i="1"/>
  <c r="Q707" i="1"/>
  <c r="AB704" i="1"/>
  <c r="AA704" i="1"/>
  <c r="Z704" i="1"/>
  <c r="Y704" i="1"/>
  <c r="X704" i="1"/>
  <c r="W704" i="1"/>
  <c r="V704" i="1"/>
  <c r="U704" i="1"/>
  <c r="T704" i="1"/>
  <c r="S704" i="1"/>
  <c r="R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BC704" i="1"/>
  <c r="BB703" i="1"/>
  <c r="BB704" i="1" s="1"/>
  <c r="BA703" i="1"/>
  <c r="BA704" i="1" s="1"/>
  <c r="AZ703" i="1"/>
  <c r="AZ704" i="1" s="1"/>
  <c r="AY703" i="1"/>
  <c r="AY704" i="1" s="1"/>
  <c r="AX703" i="1"/>
  <c r="AX704" i="1" s="1"/>
  <c r="AW703" i="1"/>
  <c r="AV703" i="1"/>
  <c r="AV704" i="1" s="1"/>
  <c r="AU703" i="1"/>
  <c r="AU704" i="1" s="1"/>
  <c r="AT703" i="1"/>
  <c r="AT704" i="1" s="1"/>
  <c r="AS703" i="1"/>
  <c r="AS704" i="1" s="1"/>
  <c r="AR703" i="1"/>
  <c r="AP703" i="1"/>
  <c r="AP704" i="1" s="1"/>
  <c r="AO703" i="1"/>
  <c r="AO704" i="1" s="1"/>
  <c r="AN703" i="1"/>
  <c r="AN704" i="1" s="1"/>
  <c r="AM703" i="1"/>
  <c r="AM704" i="1" s="1"/>
  <c r="AL703" i="1"/>
  <c r="AL704" i="1" s="1"/>
  <c r="AK703" i="1"/>
  <c r="AK704" i="1" s="1"/>
  <c r="AJ703" i="1"/>
  <c r="AJ704" i="1" s="1"/>
  <c r="AI703" i="1"/>
  <c r="AI704" i="1" s="1"/>
  <c r="AH703" i="1"/>
  <c r="AH704" i="1" s="1"/>
  <c r="AG703" i="1"/>
  <c r="AG704" i="1" s="1"/>
  <c r="AF703" i="1"/>
  <c r="AF704" i="1" s="1"/>
  <c r="AE703" i="1"/>
  <c r="AC703" i="1"/>
  <c r="Q703" i="1"/>
  <c r="BD702" i="1"/>
  <c r="AQ702" i="1"/>
  <c r="AD702" i="1"/>
  <c r="Q702" i="1"/>
  <c r="BD701" i="1"/>
  <c r="AQ701" i="1"/>
  <c r="AD701" i="1"/>
  <c r="Q701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BC697" i="1"/>
  <c r="BC698" i="1" s="1"/>
  <c r="BB697" i="1"/>
  <c r="BB698" i="1" s="1"/>
  <c r="BA697" i="1"/>
  <c r="BA698" i="1" s="1"/>
  <c r="AZ697" i="1"/>
  <c r="AZ698" i="1" s="1"/>
  <c r="AY697" i="1"/>
  <c r="AY698" i="1" s="1"/>
  <c r="AX697" i="1"/>
  <c r="AX698" i="1" s="1"/>
  <c r="AW697" i="1"/>
  <c r="AV697" i="1"/>
  <c r="AV698" i="1" s="1"/>
  <c r="AU697" i="1"/>
  <c r="AU698" i="1" s="1"/>
  <c r="AT697" i="1"/>
  <c r="AT698" i="1" s="1"/>
  <c r="AS697" i="1"/>
  <c r="AS698" i="1" s="1"/>
  <c r="AR697" i="1"/>
  <c r="AP697" i="1"/>
  <c r="AP698" i="1" s="1"/>
  <c r="AO697" i="1"/>
  <c r="AO698" i="1" s="1"/>
  <c r="AN697" i="1"/>
  <c r="AN698" i="1" s="1"/>
  <c r="AM697" i="1"/>
  <c r="AM698" i="1" s="1"/>
  <c r="AL697" i="1"/>
  <c r="AL698" i="1" s="1"/>
  <c r="AK697" i="1"/>
  <c r="AK698" i="1" s="1"/>
  <c r="AJ697" i="1"/>
  <c r="AJ698" i="1" s="1"/>
  <c r="AI697" i="1"/>
  <c r="AI698" i="1" s="1"/>
  <c r="AH697" i="1"/>
  <c r="AH698" i="1" s="1"/>
  <c r="AG697" i="1"/>
  <c r="AG698" i="1" s="1"/>
  <c r="AF697" i="1"/>
  <c r="AF698" i="1" s="1"/>
  <c r="AE697" i="1"/>
  <c r="AE698" i="1" s="1"/>
  <c r="AC697" i="1"/>
  <c r="AC698" i="1" s="1"/>
  <c r="AB697" i="1"/>
  <c r="AB698" i="1" s="1"/>
  <c r="AA697" i="1"/>
  <c r="AA698" i="1" s="1"/>
  <c r="Z697" i="1"/>
  <c r="Z698" i="1" s="1"/>
  <c r="Y697" i="1"/>
  <c r="Y698" i="1" s="1"/>
  <c r="X697" i="1"/>
  <c r="X698" i="1" s="1"/>
  <c r="W697" i="1"/>
  <c r="W698" i="1" s="1"/>
  <c r="V697" i="1"/>
  <c r="V698" i="1" s="1"/>
  <c r="U697" i="1"/>
  <c r="U698" i="1" s="1"/>
  <c r="T697" i="1"/>
  <c r="T698" i="1" s="1"/>
  <c r="S697" i="1"/>
  <c r="S698" i="1" s="1"/>
  <c r="R697" i="1"/>
  <c r="R698" i="1" s="1"/>
  <c r="Q697" i="1"/>
  <c r="BD696" i="1"/>
  <c r="AQ696" i="1"/>
  <c r="AD696" i="1"/>
  <c r="Q696" i="1"/>
  <c r="BD695" i="1"/>
  <c r="AQ695" i="1"/>
  <c r="AD695" i="1"/>
  <c r="Q695" i="1"/>
  <c r="K692" i="1"/>
  <c r="J692" i="1"/>
  <c r="I692" i="1"/>
  <c r="H692" i="1"/>
  <c r="G692" i="1"/>
  <c r="F692" i="1"/>
  <c r="E692" i="1"/>
  <c r="BC691" i="1"/>
  <c r="BC692" i="1" s="1"/>
  <c r="BB691" i="1"/>
  <c r="BB692" i="1" s="1"/>
  <c r="BA691" i="1"/>
  <c r="BA692" i="1" s="1"/>
  <c r="AZ691" i="1"/>
  <c r="AZ692" i="1" s="1"/>
  <c r="AY691" i="1"/>
  <c r="AY692" i="1" s="1"/>
  <c r="AX691" i="1"/>
  <c r="AX692" i="1" s="1"/>
  <c r="AW691" i="1"/>
  <c r="AV691" i="1"/>
  <c r="AV692" i="1" s="1"/>
  <c r="AU691" i="1"/>
  <c r="AU692" i="1" s="1"/>
  <c r="AT691" i="1"/>
  <c r="AT692" i="1" s="1"/>
  <c r="AS691" i="1"/>
  <c r="AS692" i="1" s="1"/>
  <c r="AR691" i="1"/>
  <c r="AP691" i="1"/>
  <c r="AP692" i="1" s="1"/>
  <c r="AO691" i="1"/>
  <c r="AO692" i="1" s="1"/>
  <c r="AN691" i="1"/>
  <c r="AN692" i="1" s="1"/>
  <c r="AM691" i="1"/>
  <c r="AM692" i="1" s="1"/>
  <c r="AL691" i="1"/>
  <c r="AL692" i="1" s="1"/>
  <c r="AK691" i="1"/>
  <c r="AK692" i="1" s="1"/>
  <c r="AJ691" i="1"/>
  <c r="AJ692" i="1" s="1"/>
  <c r="AI691" i="1"/>
  <c r="AI692" i="1" s="1"/>
  <c r="AH691" i="1"/>
  <c r="AH692" i="1" s="1"/>
  <c r="AG691" i="1"/>
  <c r="AG692" i="1" s="1"/>
  <c r="AF691" i="1"/>
  <c r="AF692" i="1" s="1"/>
  <c r="AE691" i="1"/>
  <c r="AE692" i="1" s="1"/>
  <c r="AC691" i="1"/>
  <c r="AC692" i="1" s="1"/>
  <c r="AB691" i="1"/>
  <c r="AB692" i="1" s="1"/>
  <c r="AA691" i="1"/>
  <c r="AA692" i="1" s="1"/>
  <c r="Z691" i="1"/>
  <c r="Z692" i="1" s="1"/>
  <c r="Y691" i="1"/>
  <c r="Y692" i="1" s="1"/>
  <c r="X691" i="1"/>
  <c r="X692" i="1" s="1"/>
  <c r="W691" i="1"/>
  <c r="W692" i="1" s="1"/>
  <c r="V691" i="1"/>
  <c r="V692" i="1" s="1"/>
  <c r="U691" i="1"/>
  <c r="U692" i="1" s="1"/>
  <c r="T691" i="1"/>
  <c r="T692" i="1" s="1"/>
  <c r="S691" i="1"/>
  <c r="S692" i="1" s="1"/>
  <c r="R691" i="1"/>
  <c r="R692" i="1" s="1"/>
  <c r="P691" i="1"/>
  <c r="P692" i="1" s="1"/>
  <c r="O691" i="1"/>
  <c r="O692" i="1" s="1"/>
  <c r="N691" i="1"/>
  <c r="N692" i="1" s="1"/>
  <c r="M691" i="1"/>
  <c r="M692" i="1" s="1"/>
  <c r="L691" i="1"/>
  <c r="L692" i="1" s="1"/>
  <c r="BD690" i="1"/>
  <c r="AQ690" i="1"/>
  <c r="AD690" i="1"/>
  <c r="Q690" i="1"/>
  <c r="BD689" i="1"/>
  <c r="AQ689" i="1"/>
  <c r="AD689" i="1"/>
  <c r="Q689" i="1"/>
  <c r="BC686" i="1"/>
  <c r="BB686" i="1"/>
  <c r="BA686" i="1"/>
  <c r="AZ686" i="1"/>
  <c r="AY686" i="1"/>
  <c r="AX686" i="1"/>
  <c r="AW686" i="1"/>
  <c r="AV686" i="1"/>
  <c r="AU686" i="1"/>
  <c r="AT686" i="1"/>
  <c r="AS686" i="1"/>
  <c r="AR686" i="1"/>
  <c r="AP686" i="1"/>
  <c r="AO686" i="1"/>
  <c r="AN686" i="1"/>
  <c r="AM686" i="1"/>
  <c r="AL686" i="1"/>
  <c r="AK686" i="1"/>
  <c r="AJ686" i="1"/>
  <c r="AI686" i="1"/>
  <c r="AH686" i="1"/>
  <c r="AG686" i="1"/>
  <c r="AF686" i="1"/>
  <c r="AE686" i="1"/>
  <c r="AC686" i="1"/>
  <c r="AB686" i="1"/>
  <c r="AA686" i="1"/>
  <c r="Z686" i="1"/>
  <c r="Y686" i="1"/>
  <c r="X686" i="1"/>
  <c r="W686" i="1"/>
  <c r="V686" i="1"/>
  <c r="U686" i="1"/>
  <c r="T686" i="1"/>
  <c r="S686" i="1"/>
  <c r="R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BD685" i="1"/>
  <c r="AQ685" i="1"/>
  <c r="AD685" i="1"/>
  <c r="Q685" i="1"/>
  <c r="BD684" i="1"/>
  <c r="AQ684" i="1"/>
  <c r="AD684" i="1"/>
  <c r="Q684" i="1"/>
  <c r="BD683" i="1"/>
  <c r="AQ683" i="1"/>
  <c r="AQ686" i="1" s="1"/>
  <c r="AD683" i="1"/>
  <c r="Q683" i="1"/>
  <c r="K680" i="1"/>
  <c r="J680" i="1"/>
  <c r="I680" i="1"/>
  <c r="H680" i="1"/>
  <c r="G680" i="1"/>
  <c r="F680" i="1"/>
  <c r="E680" i="1"/>
  <c r="BC679" i="1"/>
  <c r="BC680" i="1" s="1"/>
  <c r="BB679" i="1"/>
  <c r="BB680" i="1" s="1"/>
  <c r="BA679" i="1"/>
  <c r="BA680" i="1" s="1"/>
  <c r="AZ679" i="1"/>
  <c r="AZ680" i="1" s="1"/>
  <c r="AY679" i="1"/>
  <c r="AY680" i="1" s="1"/>
  <c r="AX679" i="1"/>
  <c r="AX680" i="1" s="1"/>
  <c r="AW679" i="1"/>
  <c r="AV679" i="1"/>
  <c r="AV680" i="1" s="1"/>
  <c r="AU679" i="1"/>
  <c r="AU680" i="1" s="1"/>
  <c r="AT679" i="1"/>
  <c r="AT680" i="1" s="1"/>
  <c r="AS679" i="1"/>
  <c r="AS680" i="1" s="1"/>
  <c r="AR679" i="1"/>
  <c r="AP679" i="1"/>
  <c r="AP680" i="1" s="1"/>
  <c r="AO679" i="1"/>
  <c r="AO680" i="1" s="1"/>
  <c r="AN679" i="1"/>
  <c r="AN680" i="1" s="1"/>
  <c r="AM679" i="1"/>
  <c r="AM680" i="1" s="1"/>
  <c r="AL679" i="1"/>
  <c r="AL680" i="1" s="1"/>
  <c r="AK679" i="1"/>
  <c r="AK680" i="1" s="1"/>
  <c r="AJ679" i="1"/>
  <c r="AJ680" i="1" s="1"/>
  <c r="AI679" i="1"/>
  <c r="AI680" i="1" s="1"/>
  <c r="AH679" i="1"/>
  <c r="AH680" i="1" s="1"/>
  <c r="AG679" i="1"/>
  <c r="AG680" i="1" s="1"/>
  <c r="AF679" i="1"/>
  <c r="AF680" i="1" s="1"/>
  <c r="AE679" i="1"/>
  <c r="AE680" i="1" s="1"/>
  <c r="AC679" i="1"/>
  <c r="AC680" i="1" s="1"/>
  <c r="AB679" i="1"/>
  <c r="AB680" i="1" s="1"/>
  <c r="AA679" i="1"/>
  <c r="AA680" i="1" s="1"/>
  <c r="Z679" i="1"/>
  <c r="Z680" i="1" s="1"/>
  <c r="Y679" i="1"/>
  <c r="Y680" i="1" s="1"/>
  <c r="X679" i="1"/>
  <c r="X680" i="1" s="1"/>
  <c r="W679" i="1"/>
  <c r="W680" i="1" s="1"/>
  <c r="V679" i="1"/>
  <c r="V680" i="1" s="1"/>
  <c r="U679" i="1"/>
  <c r="U680" i="1" s="1"/>
  <c r="T679" i="1"/>
  <c r="T680" i="1" s="1"/>
  <c r="S679" i="1"/>
  <c r="S680" i="1" s="1"/>
  <c r="R679" i="1"/>
  <c r="R680" i="1" s="1"/>
  <c r="P679" i="1"/>
  <c r="P680" i="1" s="1"/>
  <c r="O679" i="1"/>
  <c r="O680" i="1" s="1"/>
  <c r="N679" i="1"/>
  <c r="N680" i="1" s="1"/>
  <c r="M679" i="1"/>
  <c r="M680" i="1" s="1"/>
  <c r="L679" i="1"/>
  <c r="L680" i="1" s="1"/>
  <c r="BD678" i="1"/>
  <c r="AQ678" i="1"/>
  <c r="AD678" i="1"/>
  <c r="Q678" i="1"/>
  <c r="BD677" i="1"/>
  <c r="AQ677" i="1"/>
  <c r="AD677" i="1"/>
  <c r="Q677" i="1"/>
  <c r="AA674" i="1"/>
  <c r="Z674" i="1"/>
  <c r="Y674" i="1"/>
  <c r="X674" i="1"/>
  <c r="W674" i="1"/>
  <c r="V674" i="1"/>
  <c r="U674" i="1"/>
  <c r="T674" i="1"/>
  <c r="S674" i="1"/>
  <c r="R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BC673" i="1"/>
  <c r="BC674" i="1" s="1"/>
  <c r="BB673" i="1"/>
  <c r="BB674" i="1" s="1"/>
  <c r="BA673" i="1"/>
  <c r="BA674" i="1" s="1"/>
  <c r="AZ673" i="1"/>
  <c r="AZ674" i="1" s="1"/>
  <c r="AY673" i="1"/>
  <c r="AY674" i="1" s="1"/>
  <c r="AX673" i="1"/>
  <c r="AX674" i="1" s="1"/>
  <c r="AW673" i="1"/>
  <c r="AV673" i="1"/>
  <c r="AV674" i="1" s="1"/>
  <c r="AU673" i="1"/>
  <c r="AU674" i="1" s="1"/>
  <c r="AT673" i="1"/>
  <c r="AT674" i="1" s="1"/>
  <c r="AS673" i="1"/>
  <c r="AS674" i="1" s="1"/>
  <c r="AR673" i="1"/>
  <c r="AP673" i="1"/>
  <c r="AP674" i="1" s="1"/>
  <c r="AO673" i="1"/>
  <c r="AO674" i="1" s="1"/>
  <c r="AN673" i="1"/>
  <c r="AN674" i="1" s="1"/>
  <c r="AM673" i="1"/>
  <c r="AM674" i="1" s="1"/>
  <c r="AL673" i="1"/>
  <c r="AL674" i="1" s="1"/>
  <c r="AK673" i="1"/>
  <c r="AK674" i="1" s="1"/>
  <c r="AJ673" i="1"/>
  <c r="AJ674" i="1" s="1"/>
  <c r="AI673" i="1"/>
  <c r="AI674" i="1" s="1"/>
  <c r="AH673" i="1"/>
  <c r="AH674" i="1" s="1"/>
  <c r="AG673" i="1"/>
  <c r="AG674" i="1" s="1"/>
  <c r="AF673" i="1"/>
  <c r="AF674" i="1" s="1"/>
  <c r="AE673" i="1"/>
  <c r="AE674" i="1" s="1"/>
  <c r="AC673" i="1"/>
  <c r="AC674" i="1" s="1"/>
  <c r="AB673" i="1"/>
  <c r="AB674" i="1" s="1"/>
  <c r="Q673" i="1"/>
  <c r="BD672" i="1"/>
  <c r="AQ672" i="1"/>
  <c r="AD672" i="1"/>
  <c r="Q672" i="1"/>
  <c r="BD671" i="1"/>
  <c r="AQ671" i="1"/>
  <c r="AD671" i="1"/>
  <c r="Q671" i="1"/>
  <c r="AP668" i="1"/>
  <c r="AO668" i="1"/>
  <c r="AN668" i="1"/>
  <c r="AM668" i="1"/>
  <c r="AL668" i="1"/>
  <c r="AK668" i="1"/>
  <c r="AJ668" i="1"/>
  <c r="AI668" i="1"/>
  <c r="AH668" i="1"/>
  <c r="AG668" i="1"/>
  <c r="AF668" i="1"/>
  <c r="AE668" i="1"/>
  <c r="AC668" i="1"/>
  <c r="AB668" i="1"/>
  <c r="AA668" i="1"/>
  <c r="Z668" i="1"/>
  <c r="Y668" i="1"/>
  <c r="X668" i="1"/>
  <c r="W668" i="1"/>
  <c r="V668" i="1"/>
  <c r="U668" i="1"/>
  <c r="T668" i="1"/>
  <c r="S668" i="1"/>
  <c r="R668" i="1"/>
  <c r="P668" i="1"/>
  <c r="O668" i="1"/>
  <c r="N668" i="1"/>
  <c r="M668" i="1"/>
  <c r="L668" i="1"/>
  <c r="K668" i="1"/>
  <c r="J668" i="1"/>
  <c r="I668" i="1"/>
  <c r="H668" i="1"/>
  <c r="G668" i="1"/>
  <c r="F668" i="1"/>
  <c r="BC667" i="1"/>
  <c r="BC668" i="1" s="1"/>
  <c r="BB667" i="1"/>
  <c r="BB668" i="1" s="1"/>
  <c r="BA667" i="1"/>
  <c r="BA668" i="1" s="1"/>
  <c r="AZ667" i="1"/>
  <c r="AZ668" i="1" s="1"/>
  <c r="AY667" i="1"/>
  <c r="AY668" i="1" s="1"/>
  <c r="AX667" i="1"/>
  <c r="AX668" i="1" s="1"/>
  <c r="AW667" i="1"/>
  <c r="AV667" i="1"/>
  <c r="AV668" i="1" s="1"/>
  <c r="AU667" i="1"/>
  <c r="AU668" i="1" s="1"/>
  <c r="AT667" i="1"/>
  <c r="AT668" i="1" s="1"/>
  <c r="AS667" i="1"/>
  <c r="AS668" i="1" s="1"/>
  <c r="AR667" i="1"/>
  <c r="AQ667" i="1"/>
  <c r="AD667" i="1"/>
  <c r="E667" i="1"/>
  <c r="Q667" i="1" s="1"/>
  <c r="BD666" i="1"/>
  <c r="AQ666" i="1"/>
  <c r="AD666" i="1"/>
  <c r="Q666" i="1"/>
  <c r="BD665" i="1"/>
  <c r="AQ665" i="1"/>
  <c r="AD665" i="1"/>
  <c r="Q665" i="1"/>
  <c r="BC661" i="1"/>
  <c r="BC662" i="1" s="1"/>
  <c r="BB661" i="1"/>
  <c r="BB662" i="1" s="1"/>
  <c r="BA661" i="1"/>
  <c r="BA662" i="1" s="1"/>
  <c r="AZ661" i="1"/>
  <c r="AZ662" i="1" s="1"/>
  <c r="AY661" i="1"/>
  <c r="AY662" i="1" s="1"/>
  <c r="AX661" i="1"/>
  <c r="AX662" i="1" s="1"/>
  <c r="AW661" i="1"/>
  <c r="AV661" i="1"/>
  <c r="AV662" i="1" s="1"/>
  <c r="AU661" i="1"/>
  <c r="AU662" i="1" s="1"/>
  <c r="AT661" i="1"/>
  <c r="AT662" i="1" s="1"/>
  <c r="AS661" i="1"/>
  <c r="AS662" i="1" s="1"/>
  <c r="AR661" i="1"/>
  <c r="AP661" i="1"/>
  <c r="AP662" i="1" s="1"/>
  <c r="AO661" i="1"/>
  <c r="AO662" i="1" s="1"/>
  <c r="AN661" i="1"/>
  <c r="AN662" i="1" s="1"/>
  <c r="AM661" i="1"/>
  <c r="AM662" i="1" s="1"/>
  <c r="AL661" i="1"/>
  <c r="AL662" i="1" s="1"/>
  <c r="AK661" i="1"/>
  <c r="AK662" i="1" s="1"/>
  <c r="AJ661" i="1"/>
  <c r="AJ662" i="1" s="1"/>
  <c r="AI661" i="1"/>
  <c r="AI662" i="1" s="1"/>
  <c r="AH661" i="1"/>
  <c r="AH662" i="1" s="1"/>
  <c r="AG661" i="1"/>
  <c r="AG662" i="1" s="1"/>
  <c r="AF661" i="1"/>
  <c r="AF662" i="1" s="1"/>
  <c r="AE661" i="1"/>
  <c r="AC661" i="1"/>
  <c r="AC662" i="1" s="1"/>
  <c r="AB661" i="1"/>
  <c r="AB662" i="1" s="1"/>
  <c r="AA661" i="1"/>
  <c r="AA662" i="1" s="1"/>
  <c r="Z661" i="1"/>
  <c r="Z662" i="1" s="1"/>
  <c r="Y661" i="1"/>
  <c r="Y662" i="1" s="1"/>
  <c r="X661" i="1"/>
  <c r="X662" i="1" s="1"/>
  <c r="W661" i="1"/>
  <c r="W662" i="1" s="1"/>
  <c r="V661" i="1"/>
  <c r="V662" i="1" s="1"/>
  <c r="U661" i="1"/>
  <c r="U662" i="1" s="1"/>
  <c r="T661" i="1"/>
  <c r="T662" i="1" s="1"/>
  <c r="S661" i="1"/>
  <c r="S662" i="1" s="1"/>
  <c r="R661" i="1"/>
  <c r="R662" i="1" s="1"/>
  <c r="P661" i="1"/>
  <c r="P662" i="1" s="1"/>
  <c r="O661" i="1"/>
  <c r="O662" i="1" s="1"/>
  <c r="N661" i="1"/>
  <c r="N662" i="1" s="1"/>
  <c r="M661" i="1"/>
  <c r="M662" i="1" s="1"/>
  <c r="L661" i="1"/>
  <c r="L662" i="1" s="1"/>
  <c r="K661" i="1"/>
  <c r="K662" i="1" s="1"/>
  <c r="J661" i="1"/>
  <c r="J662" i="1" s="1"/>
  <c r="I661" i="1"/>
  <c r="I662" i="1" s="1"/>
  <c r="H661" i="1"/>
  <c r="H662" i="1" s="1"/>
  <c r="G661" i="1"/>
  <c r="G662" i="1" s="1"/>
  <c r="F661" i="1"/>
  <c r="F662" i="1" s="1"/>
  <c r="E661" i="1"/>
  <c r="E662" i="1" s="1"/>
  <c r="BD660" i="1"/>
  <c r="AQ660" i="1"/>
  <c r="AD660" i="1"/>
  <c r="Q660" i="1"/>
  <c r="BD659" i="1"/>
  <c r="AQ659" i="1"/>
  <c r="AD659" i="1"/>
  <c r="Q659" i="1"/>
  <c r="AP656" i="1"/>
  <c r="AO656" i="1"/>
  <c r="AN656" i="1"/>
  <c r="AM656" i="1"/>
  <c r="AL656" i="1"/>
  <c r="AK656" i="1"/>
  <c r="AJ656" i="1"/>
  <c r="AI656" i="1"/>
  <c r="AH656" i="1"/>
  <c r="AG656" i="1"/>
  <c r="AF656" i="1"/>
  <c r="AE656" i="1"/>
  <c r="AC656" i="1"/>
  <c r="AB656" i="1"/>
  <c r="AA656" i="1"/>
  <c r="Z656" i="1"/>
  <c r="Y656" i="1"/>
  <c r="X656" i="1"/>
  <c r="W656" i="1"/>
  <c r="V656" i="1"/>
  <c r="U656" i="1"/>
  <c r="T656" i="1"/>
  <c r="S656" i="1"/>
  <c r="R656" i="1"/>
  <c r="BC655" i="1"/>
  <c r="BC656" i="1" s="1"/>
  <c r="BB655" i="1"/>
  <c r="BB656" i="1" s="1"/>
  <c r="BA655" i="1"/>
  <c r="BA656" i="1" s="1"/>
  <c r="AZ655" i="1"/>
  <c r="AZ656" i="1" s="1"/>
  <c r="AY655" i="1"/>
  <c r="AY656" i="1" s="1"/>
  <c r="AX655" i="1"/>
  <c r="AX656" i="1" s="1"/>
  <c r="AW655" i="1"/>
  <c r="AV655" i="1"/>
  <c r="AV656" i="1" s="1"/>
  <c r="AU655" i="1"/>
  <c r="AU656" i="1" s="1"/>
  <c r="AT655" i="1"/>
  <c r="AT656" i="1" s="1"/>
  <c r="AS655" i="1"/>
  <c r="AS656" i="1" s="1"/>
  <c r="AR655" i="1"/>
  <c r="AQ655" i="1"/>
  <c r="AD655" i="1"/>
  <c r="P655" i="1"/>
  <c r="P656" i="1" s="1"/>
  <c r="O655" i="1"/>
  <c r="O656" i="1" s="1"/>
  <c r="N655" i="1"/>
  <c r="N656" i="1" s="1"/>
  <c r="M655" i="1"/>
  <c r="M656" i="1" s="1"/>
  <c r="L655" i="1"/>
  <c r="L656" i="1" s="1"/>
  <c r="K655" i="1"/>
  <c r="K656" i="1" s="1"/>
  <c r="J655" i="1"/>
  <c r="J656" i="1" s="1"/>
  <c r="I655" i="1"/>
  <c r="I656" i="1" s="1"/>
  <c r="H655" i="1"/>
  <c r="H656" i="1" s="1"/>
  <c r="G655" i="1"/>
  <c r="G656" i="1" s="1"/>
  <c r="F655" i="1"/>
  <c r="F656" i="1" s="1"/>
  <c r="E655" i="1"/>
  <c r="BD654" i="1"/>
  <c r="AQ654" i="1"/>
  <c r="AD654" i="1"/>
  <c r="Q654" i="1"/>
  <c r="BD653" i="1"/>
  <c r="AQ653" i="1"/>
  <c r="AD653" i="1"/>
  <c r="Q653" i="1"/>
  <c r="AP650" i="1"/>
  <c r="AO650" i="1"/>
  <c r="AN650" i="1"/>
  <c r="AM650" i="1"/>
  <c r="AL650" i="1"/>
  <c r="AK650" i="1"/>
  <c r="AJ650" i="1"/>
  <c r="AI650" i="1"/>
  <c r="AH650" i="1"/>
  <c r="AG650" i="1"/>
  <c r="AF650" i="1"/>
  <c r="AE650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BC649" i="1"/>
  <c r="BC650" i="1" s="1"/>
  <c r="BB649" i="1"/>
  <c r="BB650" i="1" s="1"/>
  <c r="BA649" i="1"/>
  <c r="BA650" i="1" s="1"/>
  <c r="AZ649" i="1"/>
  <c r="AZ650" i="1" s="1"/>
  <c r="AY649" i="1"/>
  <c r="AY650" i="1" s="1"/>
  <c r="AX649" i="1"/>
  <c r="AX650" i="1" s="1"/>
  <c r="AW649" i="1"/>
  <c r="AV649" i="1"/>
  <c r="AV650" i="1" s="1"/>
  <c r="AU649" i="1"/>
  <c r="AU650" i="1" s="1"/>
  <c r="AT649" i="1"/>
  <c r="AT650" i="1" s="1"/>
  <c r="AS649" i="1"/>
  <c r="AS650" i="1" s="1"/>
  <c r="AR649" i="1"/>
  <c r="AQ649" i="1"/>
  <c r="AD649" i="1"/>
  <c r="Q649" i="1"/>
  <c r="BD648" i="1"/>
  <c r="AQ648" i="1"/>
  <c r="AD648" i="1"/>
  <c r="Q648" i="1"/>
  <c r="BD647" i="1"/>
  <c r="AQ647" i="1"/>
  <c r="AD647" i="1"/>
  <c r="Q647" i="1"/>
  <c r="V644" i="1"/>
  <c r="U644" i="1"/>
  <c r="T644" i="1"/>
  <c r="S644" i="1"/>
  <c r="R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BC643" i="1"/>
  <c r="BC644" i="1" s="1"/>
  <c r="BB643" i="1"/>
  <c r="BB644" i="1" s="1"/>
  <c r="BA643" i="1"/>
  <c r="BA644" i="1" s="1"/>
  <c r="AZ643" i="1"/>
  <c r="AZ644" i="1" s="1"/>
  <c r="AY643" i="1"/>
  <c r="AY644" i="1" s="1"/>
  <c r="AX643" i="1"/>
  <c r="AX644" i="1" s="1"/>
  <c r="AW643" i="1"/>
  <c r="AV643" i="1"/>
  <c r="AV644" i="1" s="1"/>
  <c r="AU643" i="1"/>
  <c r="AU644" i="1" s="1"/>
  <c r="AT643" i="1"/>
  <c r="AT644" i="1" s="1"/>
  <c r="AS643" i="1"/>
  <c r="AS644" i="1" s="1"/>
  <c r="AR643" i="1"/>
  <c r="AP643" i="1"/>
  <c r="AP644" i="1" s="1"/>
  <c r="AO643" i="1"/>
  <c r="AO644" i="1" s="1"/>
  <c r="AN643" i="1"/>
  <c r="AN644" i="1" s="1"/>
  <c r="AM643" i="1"/>
  <c r="AM644" i="1" s="1"/>
  <c r="AL643" i="1"/>
  <c r="AL644" i="1" s="1"/>
  <c r="AK643" i="1"/>
  <c r="AK644" i="1" s="1"/>
  <c r="AJ643" i="1"/>
  <c r="AJ644" i="1" s="1"/>
  <c r="AI643" i="1"/>
  <c r="AI644" i="1" s="1"/>
  <c r="AH643" i="1"/>
  <c r="AH644" i="1" s="1"/>
  <c r="AG643" i="1"/>
  <c r="AG644" i="1" s="1"/>
  <c r="AF643" i="1"/>
  <c r="AF644" i="1" s="1"/>
  <c r="AE643" i="1"/>
  <c r="AE644" i="1" s="1"/>
  <c r="AC643" i="1"/>
  <c r="AC644" i="1" s="1"/>
  <c r="AB643" i="1"/>
  <c r="AB644" i="1" s="1"/>
  <c r="AA643" i="1"/>
  <c r="AA644" i="1" s="1"/>
  <c r="Z643" i="1"/>
  <c r="Z644" i="1" s="1"/>
  <c r="Y643" i="1"/>
  <c r="Y644" i="1" s="1"/>
  <c r="X643" i="1"/>
  <c r="X644" i="1" s="1"/>
  <c r="W643" i="1"/>
  <c r="W644" i="1" s="1"/>
  <c r="Q643" i="1"/>
  <c r="BD642" i="1"/>
  <c r="AQ642" i="1"/>
  <c r="AD642" i="1"/>
  <c r="Q642" i="1"/>
  <c r="BD641" i="1"/>
  <c r="AQ641" i="1"/>
  <c r="AD641" i="1"/>
  <c r="Q641" i="1"/>
  <c r="AP638" i="1"/>
  <c r="AO638" i="1"/>
  <c r="AN638" i="1"/>
  <c r="AM638" i="1"/>
  <c r="AL638" i="1"/>
  <c r="AK638" i="1"/>
  <c r="AJ638" i="1"/>
  <c r="AI638" i="1"/>
  <c r="AH638" i="1"/>
  <c r="AG638" i="1"/>
  <c r="AF638" i="1"/>
  <c r="AE638" i="1"/>
  <c r="AC638" i="1"/>
  <c r="AB638" i="1"/>
  <c r="AA638" i="1"/>
  <c r="Z638" i="1"/>
  <c r="Y638" i="1"/>
  <c r="X638" i="1"/>
  <c r="W638" i="1"/>
  <c r="V638" i="1"/>
  <c r="U638" i="1"/>
  <c r="T638" i="1"/>
  <c r="S638" i="1"/>
  <c r="R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BC637" i="1"/>
  <c r="BC638" i="1" s="1"/>
  <c r="BB637" i="1"/>
  <c r="BB638" i="1" s="1"/>
  <c r="BA637" i="1"/>
  <c r="BA638" i="1" s="1"/>
  <c r="AZ637" i="1"/>
  <c r="AZ638" i="1" s="1"/>
  <c r="AY637" i="1"/>
  <c r="AY638" i="1" s="1"/>
  <c r="AX637" i="1"/>
  <c r="AX638" i="1" s="1"/>
  <c r="AW637" i="1"/>
  <c r="AV637" i="1"/>
  <c r="AV638" i="1" s="1"/>
  <c r="AU637" i="1"/>
  <c r="AU638" i="1" s="1"/>
  <c r="AT637" i="1"/>
  <c r="AT638" i="1" s="1"/>
  <c r="AS637" i="1"/>
  <c r="AS638" i="1" s="1"/>
  <c r="AR637" i="1"/>
  <c r="AQ637" i="1"/>
  <c r="AD637" i="1"/>
  <c r="Q637" i="1"/>
  <c r="BD636" i="1"/>
  <c r="AQ636" i="1"/>
  <c r="AD636" i="1"/>
  <c r="Q636" i="1"/>
  <c r="BD635" i="1"/>
  <c r="AQ635" i="1"/>
  <c r="AD635" i="1"/>
  <c r="Q635" i="1"/>
  <c r="V632" i="1"/>
  <c r="U632" i="1"/>
  <c r="T632" i="1"/>
  <c r="S632" i="1"/>
  <c r="R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BC631" i="1"/>
  <c r="BC632" i="1" s="1"/>
  <c r="BB631" i="1"/>
  <c r="BB632" i="1" s="1"/>
  <c r="BA631" i="1"/>
  <c r="BA632" i="1" s="1"/>
  <c r="AZ631" i="1"/>
  <c r="AZ632" i="1" s="1"/>
  <c r="AY631" i="1"/>
  <c r="AY632" i="1" s="1"/>
  <c r="AX631" i="1"/>
  <c r="AX632" i="1" s="1"/>
  <c r="AW631" i="1"/>
  <c r="AV631" i="1"/>
  <c r="AV632" i="1" s="1"/>
  <c r="AU631" i="1"/>
  <c r="AU632" i="1" s="1"/>
  <c r="AT631" i="1"/>
  <c r="AT632" i="1" s="1"/>
  <c r="AS631" i="1"/>
  <c r="AS632" i="1" s="1"/>
  <c r="AR631" i="1"/>
  <c r="AP631" i="1"/>
  <c r="AP632" i="1" s="1"/>
  <c r="AO631" i="1"/>
  <c r="AO632" i="1" s="1"/>
  <c r="AN631" i="1"/>
  <c r="AN632" i="1" s="1"/>
  <c r="AM631" i="1"/>
  <c r="AM632" i="1" s="1"/>
  <c r="AL631" i="1"/>
  <c r="AL632" i="1" s="1"/>
  <c r="AK631" i="1"/>
  <c r="AK632" i="1" s="1"/>
  <c r="AJ631" i="1"/>
  <c r="AJ632" i="1" s="1"/>
  <c r="AI631" i="1"/>
  <c r="AI632" i="1" s="1"/>
  <c r="AH631" i="1"/>
  <c r="AH632" i="1" s="1"/>
  <c r="AG631" i="1"/>
  <c r="AG632" i="1" s="1"/>
  <c r="AF631" i="1"/>
  <c r="AF632" i="1" s="1"/>
  <c r="AE631" i="1"/>
  <c r="AE632" i="1" s="1"/>
  <c r="AC631" i="1"/>
  <c r="AC632" i="1" s="1"/>
  <c r="AB631" i="1"/>
  <c r="AB632" i="1" s="1"/>
  <c r="AA631" i="1"/>
  <c r="AA632" i="1" s="1"/>
  <c r="Z631" i="1"/>
  <c r="Z632" i="1" s="1"/>
  <c r="Y631" i="1"/>
  <c r="Y632" i="1" s="1"/>
  <c r="X631" i="1"/>
  <c r="X632" i="1" s="1"/>
  <c r="W631" i="1"/>
  <c r="W632" i="1" s="1"/>
  <c r="Q631" i="1"/>
  <c r="BD630" i="1"/>
  <c r="AQ630" i="1"/>
  <c r="AD630" i="1"/>
  <c r="Q630" i="1"/>
  <c r="BD629" i="1"/>
  <c r="AQ629" i="1"/>
  <c r="AD629" i="1"/>
  <c r="Q629" i="1"/>
  <c r="U626" i="1"/>
  <c r="T626" i="1"/>
  <c r="S626" i="1"/>
  <c r="R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BC625" i="1"/>
  <c r="BC626" i="1" s="1"/>
  <c r="BB625" i="1"/>
  <c r="BB626" i="1" s="1"/>
  <c r="BA625" i="1"/>
  <c r="BA626" i="1" s="1"/>
  <c r="AZ625" i="1"/>
  <c r="AZ626" i="1" s="1"/>
  <c r="AY625" i="1"/>
  <c r="AY626" i="1" s="1"/>
  <c r="AX625" i="1"/>
  <c r="AX626" i="1" s="1"/>
  <c r="AW625" i="1"/>
  <c r="AV625" i="1"/>
  <c r="AV626" i="1" s="1"/>
  <c r="AU625" i="1"/>
  <c r="AU626" i="1" s="1"/>
  <c r="AT625" i="1"/>
  <c r="AT626" i="1" s="1"/>
  <c r="AS625" i="1"/>
  <c r="AS626" i="1" s="1"/>
  <c r="AR625" i="1"/>
  <c r="AP625" i="1"/>
  <c r="AP626" i="1" s="1"/>
  <c r="AO625" i="1"/>
  <c r="AO626" i="1" s="1"/>
  <c r="AN625" i="1"/>
  <c r="AN626" i="1" s="1"/>
  <c r="AM625" i="1"/>
  <c r="AM626" i="1" s="1"/>
  <c r="AL625" i="1"/>
  <c r="AL626" i="1" s="1"/>
  <c r="AK625" i="1"/>
  <c r="AK626" i="1" s="1"/>
  <c r="AJ625" i="1"/>
  <c r="AJ626" i="1" s="1"/>
  <c r="AI625" i="1"/>
  <c r="AI626" i="1" s="1"/>
  <c r="AH625" i="1"/>
  <c r="AH626" i="1" s="1"/>
  <c r="AG625" i="1"/>
  <c r="AG626" i="1" s="1"/>
  <c r="AF625" i="1"/>
  <c r="AF626" i="1" s="1"/>
  <c r="AE625" i="1"/>
  <c r="AE626" i="1" s="1"/>
  <c r="AC625" i="1"/>
  <c r="AC626" i="1" s="1"/>
  <c r="AB625" i="1"/>
  <c r="AB626" i="1" s="1"/>
  <c r="AA625" i="1"/>
  <c r="AA626" i="1" s="1"/>
  <c r="Z625" i="1"/>
  <c r="Z626" i="1" s="1"/>
  <c r="Y625" i="1"/>
  <c r="Y626" i="1" s="1"/>
  <c r="X625" i="1"/>
  <c r="X626" i="1" s="1"/>
  <c r="W625" i="1"/>
  <c r="W626" i="1" s="1"/>
  <c r="V625" i="1"/>
  <c r="V626" i="1" s="1"/>
  <c r="Q625" i="1"/>
  <c r="BD624" i="1"/>
  <c r="AQ624" i="1"/>
  <c r="AD624" i="1"/>
  <c r="Q624" i="1"/>
  <c r="BD623" i="1"/>
  <c r="AQ623" i="1"/>
  <c r="AD623" i="1"/>
  <c r="Q623" i="1"/>
  <c r="BC619" i="1"/>
  <c r="BC620" i="1" s="1"/>
  <c r="BB619" i="1"/>
  <c r="BB620" i="1" s="1"/>
  <c r="BA619" i="1"/>
  <c r="BA620" i="1" s="1"/>
  <c r="AZ619" i="1"/>
  <c r="AZ620" i="1" s="1"/>
  <c r="AY619" i="1"/>
  <c r="AY620" i="1" s="1"/>
  <c r="AX619" i="1"/>
  <c r="AX620" i="1" s="1"/>
  <c r="AW619" i="1"/>
  <c r="AV619" i="1"/>
  <c r="AV620" i="1" s="1"/>
  <c r="AU619" i="1"/>
  <c r="AU620" i="1" s="1"/>
  <c r="AT619" i="1"/>
  <c r="AT620" i="1" s="1"/>
  <c r="AS619" i="1"/>
  <c r="AS620" i="1" s="1"/>
  <c r="AR619" i="1"/>
  <c r="AP619" i="1"/>
  <c r="AP620" i="1" s="1"/>
  <c r="AO619" i="1"/>
  <c r="AO620" i="1" s="1"/>
  <c r="AN619" i="1"/>
  <c r="AN620" i="1" s="1"/>
  <c r="AM619" i="1"/>
  <c r="AM620" i="1" s="1"/>
  <c r="AL619" i="1"/>
  <c r="AL620" i="1" s="1"/>
  <c r="AK619" i="1"/>
  <c r="AK620" i="1" s="1"/>
  <c r="AJ619" i="1"/>
  <c r="AJ620" i="1" s="1"/>
  <c r="AI619" i="1"/>
  <c r="AI620" i="1" s="1"/>
  <c r="AH619" i="1"/>
  <c r="AH620" i="1" s="1"/>
  <c r="AG619" i="1"/>
  <c r="AG620" i="1" s="1"/>
  <c r="AF619" i="1"/>
  <c r="AF620" i="1" s="1"/>
  <c r="AE619" i="1"/>
  <c r="AE620" i="1" s="1"/>
  <c r="AC619" i="1"/>
  <c r="AC620" i="1" s="1"/>
  <c r="AB619" i="1"/>
  <c r="AB620" i="1" s="1"/>
  <c r="AA619" i="1"/>
  <c r="AA620" i="1" s="1"/>
  <c r="Z619" i="1"/>
  <c r="Z620" i="1" s="1"/>
  <c r="Y619" i="1"/>
  <c r="Y620" i="1" s="1"/>
  <c r="X619" i="1"/>
  <c r="X620" i="1" s="1"/>
  <c r="W619" i="1"/>
  <c r="W620" i="1" s="1"/>
  <c r="V619" i="1"/>
  <c r="V620" i="1" s="1"/>
  <c r="U619" i="1"/>
  <c r="U620" i="1" s="1"/>
  <c r="T619" i="1"/>
  <c r="T620" i="1" s="1"/>
  <c r="S619" i="1"/>
  <c r="S620" i="1" s="1"/>
  <c r="R619" i="1"/>
  <c r="R620" i="1" s="1"/>
  <c r="P619" i="1"/>
  <c r="P620" i="1" s="1"/>
  <c r="O619" i="1"/>
  <c r="O620" i="1" s="1"/>
  <c r="N619" i="1"/>
  <c r="N620" i="1" s="1"/>
  <c r="M619" i="1"/>
  <c r="M620" i="1" s="1"/>
  <c r="L619" i="1"/>
  <c r="L620" i="1" s="1"/>
  <c r="K619" i="1"/>
  <c r="K620" i="1" s="1"/>
  <c r="J619" i="1"/>
  <c r="J620" i="1" s="1"/>
  <c r="I619" i="1"/>
  <c r="I620" i="1" s="1"/>
  <c r="H619" i="1"/>
  <c r="H620" i="1" s="1"/>
  <c r="G619" i="1"/>
  <c r="G620" i="1" s="1"/>
  <c r="F619" i="1"/>
  <c r="F620" i="1" s="1"/>
  <c r="E619" i="1"/>
  <c r="E620" i="1" s="1"/>
  <c r="BD618" i="1"/>
  <c r="AQ618" i="1"/>
  <c r="AD618" i="1"/>
  <c r="Q618" i="1"/>
  <c r="BD617" i="1"/>
  <c r="AQ617" i="1"/>
  <c r="AD617" i="1"/>
  <c r="Q617" i="1"/>
  <c r="BC613" i="1"/>
  <c r="BC614" i="1" s="1"/>
  <c r="BB613" i="1"/>
  <c r="BB614" i="1" s="1"/>
  <c r="BA613" i="1"/>
  <c r="BA614" i="1" s="1"/>
  <c r="AZ613" i="1"/>
  <c r="AZ614" i="1" s="1"/>
  <c r="AY613" i="1"/>
  <c r="AY614" i="1" s="1"/>
  <c r="AX613" i="1"/>
  <c r="AX614" i="1" s="1"/>
  <c r="AW613" i="1"/>
  <c r="AV613" i="1"/>
  <c r="AV614" i="1" s="1"/>
  <c r="AU613" i="1"/>
  <c r="AU614" i="1" s="1"/>
  <c r="AT613" i="1"/>
  <c r="AT614" i="1" s="1"/>
  <c r="AS613" i="1"/>
  <c r="AS614" i="1" s="1"/>
  <c r="AR613" i="1"/>
  <c r="AP613" i="1"/>
  <c r="AP614" i="1" s="1"/>
  <c r="AO613" i="1"/>
  <c r="AO614" i="1" s="1"/>
  <c r="AN613" i="1"/>
  <c r="AN614" i="1" s="1"/>
  <c r="AM613" i="1"/>
  <c r="AM614" i="1" s="1"/>
  <c r="AL613" i="1"/>
  <c r="AL614" i="1" s="1"/>
  <c r="AK613" i="1"/>
  <c r="AK614" i="1" s="1"/>
  <c r="AJ613" i="1"/>
  <c r="AJ614" i="1" s="1"/>
  <c r="AI613" i="1"/>
  <c r="AI614" i="1" s="1"/>
  <c r="AH613" i="1"/>
  <c r="AH614" i="1" s="1"/>
  <c r="AG613" i="1"/>
  <c r="AG614" i="1" s="1"/>
  <c r="AF613" i="1"/>
  <c r="AF614" i="1" s="1"/>
  <c r="AE613" i="1"/>
  <c r="AE614" i="1" s="1"/>
  <c r="AC613" i="1"/>
  <c r="AC614" i="1" s="1"/>
  <c r="AB613" i="1"/>
  <c r="AB614" i="1" s="1"/>
  <c r="AA613" i="1"/>
  <c r="AA614" i="1" s="1"/>
  <c r="Z613" i="1"/>
  <c r="Z614" i="1" s="1"/>
  <c r="Y613" i="1"/>
  <c r="Y614" i="1" s="1"/>
  <c r="X613" i="1"/>
  <c r="X614" i="1" s="1"/>
  <c r="W613" i="1"/>
  <c r="W614" i="1" s="1"/>
  <c r="V613" i="1"/>
  <c r="V614" i="1" s="1"/>
  <c r="U613" i="1"/>
  <c r="U614" i="1" s="1"/>
  <c r="T613" i="1"/>
  <c r="T614" i="1" s="1"/>
  <c r="S613" i="1"/>
  <c r="S614" i="1" s="1"/>
  <c r="R613" i="1"/>
  <c r="R614" i="1" s="1"/>
  <c r="P613" i="1"/>
  <c r="P614" i="1" s="1"/>
  <c r="O613" i="1"/>
  <c r="O614" i="1" s="1"/>
  <c r="N613" i="1"/>
  <c r="N614" i="1" s="1"/>
  <c r="M613" i="1"/>
  <c r="M614" i="1" s="1"/>
  <c r="L613" i="1"/>
  <c r="L614" i="1" s="1"/>
  <c r="K613" i="1"/>
  <c r="K614" i="1" s="1"/>
  <c r="J613" i="1"/>
  <c r="J614" i="1" s="1"/>
  <c r="I613" i="1"/>
  <c r="I614" i="1" s="1"/>
  <c r="H613" i="1"/>
  <c r="H614" i="1" s="1"/>
  <c r="G613" i="1"/>
  <c r="G614" i="1" s="1"/>
  <c r="F613" i="1"/>
  <c r="E613" i="1"/>
  <c r="E614" i="1" s="1"/>
  <c r="BD612" i="1"/>
  <c r="AQ612" i="1"/>
  <c r="AD612" i="1"/>
  <c r="Q612" i="1"/>
  <c r="BD611" i="1"/>
  <c r="AQ611" i="1"/>
  <c r="AD611" i="1"/>
  <c r="Q611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BC607" i="1"/>
  <c r="BC608" i="1" s="1"/>
  <c r="BB607" i="1"/>
  <c r="BB608" i="1" s="1"/>
  <c r="BA607" i="1"/>
  <c r="BA608" i="1" s="1"/>
  <c r="AZ607" i="1"/>
  <c r="AZ608" i="1" s="1"/>
  <c r="AY607" i="1"/>
  <c r="AY608" i="1" s="1"/>
  <c r="AX607" i="1"/>
  <c r="AX608" i="1" s="1"/>
  <c r="AW607" i="1"/>
  <c r="AV607" i="1"/>
  <c r="AV608" i="1" s="1"/>
  <c r="AU607" i="1"/>
  <c r="AU608" i="1" s="1"/>
  <c r="AT607" i="1"/>
  <c r="AT608" i="1" s="1"/>
  <c r="AS607" i="1"/>
  <c r="AS608" i="1" s="1"/>
  <c r="AR607" i="1"/>
  <c r="AP607" i="1"/>
  <c r="AP608" i="1" s="1"/>
  <c r="AO607" i="1"/>
  <c r="AO608" i="1" s="1"/>
  <c r="AN607" i="1"/>
  <c r="AN608" i="1" s="1"/>
  <c r="AM607" i="1"/>
  <c r="AM608" i="1" s="1"/>
  <c r="AL607" i="1"/>
  <c r="AL608" i="1" s="1"/>
  <c r="AK607" i="1"/>
  <c r="AK608" i="1" s="1"/>
  <c r="AJ607" i="1"/>
  <c r="AJ608" i="1" s="1"/>
  <c r="AI607" i="1"/>
  <c r="AI608" i="1" s="1"/>
  <c r="AH607" i="1"/>
  <c r="AH608" i="1" s="1"/>
  <c r="AG607" i="1"/>
  <c r="AG608" i="1" s="1"/>
  <c r="AF607" i="1"/>
  <c r="AF608" i="1" s="1"/>
  <c r="AE607" i="1"/>
  <c r="AC607" i="1"/>
  <c r="AC608" i="1" s="1"/>
  <c r="AB607" i="1"/>
  <c r="AB608" i="1" s="1"/>
  <c r="AA607" i="1"/>
  <c r="AA608" i="1" s="1"/>
  <c r="Z607" i="1"/>
  <c r="Z608" i="1" s="1"/>
  <c r="Y607" i="1"/>
  <c r="Y608" i="1" s="1"/>
  <c r="X607" i="1"/>
  <c r="X608" i="1" s="1"/>
  <c r="W607" i="1"/>
  <c r="W608" i="1" s="1"/>
  <c r="V607" i="1"/>
  <c r="V608" i="1" s="1"/>
  <c r="U607" i="1"/>
  <c r="U608" i="1" s="1"/>
  <c r="T607" i="1"/>
  <c r="T608" i="1" s="1"/>
  <c r="S607" i="1"/>
  <c r="S608" i="1" s="1"/>
  <c r="R607" i="1"/>
  <c r="R608" i="1" s="1"/>
  <c r="Q607" i="1"/>
  <c r="BD606" i="1"/>
  <c r="AQ606" i="1"/>
  <c r="AD606" i="1"/>
  <c r="Q606" i="1"/>
  <c r="BD605" i="1"/>
  <c r="AQ605" i="1"/>
  <c r="AD605" i="1"/>
  <c r="Q605" i="1"/>
  <c r="AP602" i="1"/>
  <c r="AO602" i="1"/>
  <c r="AN602" i="1"/>
  <c r="AM602" i="1"/>
  <c r="AL602" i="1"/>
  <c r="AK602" i="1"/>
  <c r="AJ602" i="1"/>
  <c r="AI602" i="1"/>
  <c r="AH602" i="1"/>
  <c r="AG602" i="1"/>
  <c r="AF602" i="1"/>
  <c r="AE602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BC601" i="1"/>
  <c r="BC602" i="1" s="1"/>
  <c r="BB601" i="1"/>
  <c r="BB602" i="1" s="1"/>
  <c r="BA601" i="1"/>
  <c r="BA602" i="1" s="1"/>
  <c r="AZ601" i="1"/>
  <c r="AZ602" i="1" s="1"/>
  <c r="AY601" i="1"/>
  <c r="AY602" i="1" s="1"/>
  <c r="AX601" i="1"/>
  <c r="AX602" i="1" s="1"/>
  <c r="AW601" i="1"/>
  <c r="AV601" i="1"/>
  <c r="AV602" i="1" s="1"/>
  <c r="AU602" i="1"/>
  <c r="AT601" i="1"/>
  <c r="AT602" i="1" s="1"/>
  <c r="AS601" i="1"/>
  <c r="AS602" i="1" s="1"/>
  <c r="AR601" i="1"/>
  <c r="AQ601" i="1"/>
  <c r="AD601" i="1"/>
  <c r="Q601" i="1"/>
  <c r="BD600" i="1"/>
  <c r="AQ600" i="1"/>
  <c r="AD600" i="1"/>
  <c r="Q600" i="1"/>
  <c r="BD599" i="1"/>
  <c r="AQ599" i="1"/>
  <c r="AD599" i="1"/>
  <c r="Q599" i="1"/>
  <c r="O596" i="1"/>
  <c r="N596" i="1"/>
  <c r="M596" i="1"/>
  <c r="L596" i="1"/>
  <c r="K596" i="1"/>
  <c r="J596" i="1"/>
  <c r="I596" i="1"/>
  <c r="H596" i="1"/>
  <c r="G596" i="1"/>
  <c r="F596" i="1"/>
  <c r="E596" i="1"/>
  <c r="BC595" i="1"/>
  <c r="BC596" i="1" s="1"/>
  <c r="BB595" i="1"/>
  <c r="BB596" i="1" s="1"/>
  <c r="BA595" i="1"/>
  <c r="BA596" i="1" s="1"/>
  <c r="AZ595" i="1"/>
  <c r="AZ596" i="1" s="1"/>
  <c r="AY595" i="1"/>
  <c r="AY596" i="1" s="1"/>
  <c r="AX595" i="1"/>
  <c r="AX596" i="1" s="1"/>
  <c r="AW595" i="1"/>
  <c r="AV595" i="1"/>
  <c r="AV596" i="1" s="1"/>
  <c r="AU595" i="1"/>
  <c r="AU596" i="1" s="1"/>
  <c r="AT595" i="1"/>
  <c r="AT596" i="1" s="1"/>
  <c r="AS595" i="1"/>
  <c r="AS596" i="1" s="1"/>
  <c r="AR595" i="1"/>
  <c r="AP595" i="1"/>
  <c r="AP596" i="1" s="1"/>
  <c r="AO595" i="1"/>
  <c r="AO596" i="1" s="1"/>
  <c r="AN595" i="1"/>
  <c r="AN596" i="1" s="1"/>
  <c r="AM595" i="1"/>
  <c r="AM596" i="1" s="1"/>
  <c r="AL595" i="1"/>
  <c r="AL596" i="1" s="1"/>
  <c r="AK595" i="1"/>
  <c r="AK596" i="1" s="1"/>
  <c r="AJ595" i="1"/>
  <c r="AJ596" i="1" s="1"/>
  <c r="AI595" i="1"/>
  <c r="AI596" i="1" s="1"/>
  <c r="AH595" i="1"/>
  <c r="AH596" i="1" s="1"/>
  <c r="AG595" i="1"/>
  <c r="AG596" i="1" s="1"/>
  <c r="AF595" i="1"/>
  <c r="AF596" i="1" s="1"/>
  <c r="AE595" i="1"/>
  <c r="AC595" i="1"/>
  <c r="AC596" i="1" s="1"/>
  <c r="AB595" i="1"/>
  <c r="AB596" i="1" s="1"/>
  <c r="AA595" i="1"/>
  <c r="AA596" i="1" s="1"/>
  <c r="Z595" i="1"/>
  <c r="Z596" i="1" s="1"/>
  <c r="Y595" i="1"/>
  <c r="Y596" i="1" s="1"/>
  <c r="X595" i="1"/>
  <c r="X596" i="1" s="1"/>
  <c r="W595" i="1"/>
  <c r="W596" i="1" s="1"/>
  <c r="V595" i="1"/>
  <c r="V596" i="1" s="1"/>
  <c r="U595" i="1"/>
  <c r="U596" i="1" s="1"/>
  <c r="T595" i="1"/>
  <c r="T596" i="1" s="1"/>
  <c r="S595" i="1"/>
  <c r="S596" i="1" s="1"/>
  <c r="R595" i="1"/>
  <c r="R596" i="1" s="1"/>
  <c r="P595" i="1"/>
  <c r="P596" i="1" s="1"/>
  <c r="BD594" i="1"/>
  <c r="AQ594" i="1"/>
  <c r="AD594" i="1"/>
  <c r="Q594" i="1"/>
  <c r="BD593" i="1"/>
  <c r="AQ593" i="1"/>
  <c r="AD593" i="1"/>
  <c r="Q593" i="1"/>
  <c r="BB590" i="1"/>
  <c r="AZ590" i="1"/>
  <c r="AY590" i="1"/>
  <c r="AW590" i="1"/>
  <c r="AT590" i="1"/>
  <c r="AR590" i="1"/>
  <c r="AP590" i="1"/>
  <c r="AO590" i="1"/>
  <c r="AN590" i="1"/>
  <c r="AM590" i="1"/>
  <c r="AL590" i="1"/>
  <c r="AK590" i="1"/>
  <c r="AJ590" i="1"/>
  <c r="AI590" i="1"/>
  <c r="AH590" i="1"/>
  <c r="AG590" i="1"/>
  <c r="AF590" i="1"/>
  <c r="AE590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P590" i="1"/>
  <c r="O590" i="1"/>
  <c r="N590" i="1"/>
  <c r="M590" i="1"/>
  <c r="L590" i="1"/>
  <c r="K590" i="1"/>
  <c r="J590" i="1"/>
  <c r="H590" i="1"/>
  <c r="G590" i="1"/>
  <c r="F590" i="1"/>
  <c r="E590" i="1"/>
  <c r="BC590" i="1"/>
  <c r="BA590" i="1"/>
  <c r="AX590" i="1"/>
  <c r="AV590" i="1"/>
  <c r="AU590" i="1"/>
  <c r="AQ589" i="1"/>
  <c r="AD589" i="1"/>
  <c r="Q589" i="1"/>
  <c r="BD588" i="1"/>
  <c r="AQ588" i="1"/>
  <c r="AD588" i="1"/>
  <c r="Q588" i="1"/>
  <c r="BD587" i="1"/>
  <c r="AQ587" i="1"/>
  <c r="AD587" i="1"/>
  <c r="I587" i="1"/>
  <c r="I1025" i="1" s="1"/>
  <c r="AB584" i="1"/>
  <c r="AA584" i="1"/>
  <c r="Z584" i="1"/>
  <c r="Y584" i="1"/>
  <c r="X584" i="1"/>
  <c r="W584" i="1"/>
  <c r="V584" i="1"/>
  <c r="U584" i="1"/>
  <c r="T584" i="1"/>
  <c r="S584" i="1"/>
  <c r="R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BC583" i="1"/>
  <c r="BC584" i="1" s="1"/>
  <c r="BB583" i="1"/>
  <c r="BB584" i="1" s="1"/>
  <c r="BA583" i="1"/>
  <c r="BA584" i="1" s="1"/>
  <c r="AZ583" i="1"/>
  <c r="AZ584" i="1" s="1"/>
  <c r="AY583" i="1"/>
  <c r="AY584" i="1" s="1"/>
  <c r="AX583" i="1"/>
  <c r="AX584" i="1" s="1"/>
  <c r="AW583" i="1"/>
  <c r="AV583" i="1"/>
  <c r="AV584" i="1" s="1"/>
  <c r="AU583" i="1"/>
  <c r="AU584" i="1" s="1"/>
  <c r="AT583" i="1"/>
  <c r="AT584" i="1" s="1"/>
  <c r="AS583" i="1"/>
  <c r="AS584" i="1" s="1"/>
  <c r="AR583" i="1"/>
  <c r="AP583" i="1"/>
  <c r="AP584" i="1" s="1"/>
  <c r="AO583" i="1"/>
  <c r="AO584" i="1" s="1"/>
  <c r="AN583" i="1"/>
  <c r="AN584" i="1" s="1"/>
  <c r="AM583" i="1"/>
  <c r="AM584" i="1" s="1"/>
  <c r="AL583" i="1"/>
  <c r="AL584" i="1" s="1"/>
  <c r="AK583" i="1"/>
  <c r="AK584" i="1" s="1"/>
  <c r="AJ583" i="1"/>
  <c r="AJ584" i="1" s="1"/>
  <c r="AI583" i="1"/>
  <c r="AI584" i="1" s="1"/>
  <c r="AH583" i="1"/>
  <c r="AH584" i="1" s="1"/>
  <c r="AG583" i="1"/>
  <c r="AG584" i="1" s="1"/>
  <c r="AF583" i="1"/>
  <c r="AF584" i="1" s="1"/>
  <c r="AE583" i="1"/>
  <c r="AE584" i="1" s="1"/>
  <c r="AC583" i="1"/>
  <c r="Q583" i="1"/>
  <c r="BD582" i="1"/>
  <c r="AQ582" i="1"/>
  <c r="AD582" i="1"/>
  <c r="Q582" i="1"/>
  <c r="BD581" i="1"/>
  <c r="AQ581" i="1"/>
  <c r="AD581" i="1"/>
  <c r="Q581" i="1"/>
  <c r="F578" i="1"/>
  <c r="E578" i="1"/>
  <c r="BC577" i="1"/>
  <c r="BC578" i="1" s="1"/>
  <c r="BB577" i="1"/>
  <c r="BB578" i="1" s="1"/>
  <c r="BA577" i="1"/>
  <c r="BA578" i="1" s="1"/>
  <c r="AZ577" i="1"/>
  <c r="AZ578" i="1" s="1"/>
  <c r="AY577" i="1"/>
  <c r="AY578" i="1" s="1"/>
  <c r="AX577" i="1"/>
  <c r="AX578" i="1" s="1"/>
  <c r="AW577" i="1"/>
  <c r="AV577" i="1"/>
  <c r="AV578" i="1" s="1"/>
  <c r="AU577" i="1"/>
  <c r="AU578" i="1" s="1"/>
  <c r="AT577" i="1"/>
  <c r="AT578" i="1" s="1"/>
  <c r="AS577" i="1"/>
  <c r="AR577" i="1"/>
  <c r="AP577" i="1"/>
  <c r="AP578" i="1" s="1"/>
  <c r="AO577" i="1"/>
  <c r="AO578" i="1" s="1"/>
  <c r="AN577" i="1"/>
  <c r="AN578" i="1" s="1"/>
  <c r="AM577" i="1"/>
  <c r="AM578" i="1" s="1"/>
  <c r="AL577" i="1"/>
  <c r="AL578" i="1" s="1"/>
  <c r="AK577" i="1"/>
  <c r="AK578" i="1" s="1"/>
  <c r="AJ577" i="1"/>
  <c r="AJ578" i="1" s="1"/>
  <c r="AI577" i="1"/>
  <c r="AI578" i="1" s="1"/>
  <c r="AH577" i="1"/>
  <c r="AH578" i="1" s="1"/>
  <c r="AG577" i="1"/>
  <c r="AG578" i="1" s="1"/>
  <c r="AF577" i="1"/>
  <c r="AF578" i="1" s="1"/>
  <c r="AE577" i="1"/>
  <c r="AC577" i="1"/>
  <c r="AC578" i="1" s="1"/>
  <c r="AB577" i="1"/>
  <c r="AB578" i="1" s="1"/>
  <c r="AA577" i="1"/>
  <c r="AA578" i="1" s="1"/>
  <c r="Z577" i="1"/>
  <c r="Z578" i="1" s="1"/>
  <c r="Y577" i="1"/>
  <c r="Y578" i="1" s="1"/>
  <c r="X577" i="1"/>
  <c r="X578" i="1" s="1"/>
  <c r="W577" i="1"/>
  <c r="W578" i="1" s="1"/>
  <c r="V577" i="1"/>
  <c r="V578" i="1" s="1"/>
  <c r="U577" i="1"/>
  <c r="U578" i="1" s="1"/>
  <c r="T577" i="1"/>
  <c r="T578" i="1" s="1"/>
  <c r="S577" i="1"/>
  <c r="S578" i="1" s="1"/>
  <c r="R577" i="1"/>
  <c r="P577" i="1"/>
  <c r="P578" i="1" s="1"/>
  <c r="O577" i="1"/>
  <c r="O578" i="1" s="1"/>
  <c r="N577" i="1"/>
  <c r="N578" i="1" s="1"/>
  <c r="M577" i="1"/>
  <c r="M578" i="1" s="1"/>
  <c r="L577" i="1"/>
  <c r="L578" i="1" s="1"/>
  <c r="K577" i="1"/>
  <c r="K578" i="1" s="1"/>
  <c r="J577" i="1"/>
  <c r="J578" i="1" s="1"/>
  <c r="I577" i="1"/>
  <c r="I578" i="1" s="1"/>
  <c r="H577" i="1"/>
  <c r="H578" i="1" s="1"/>
  <c r="G577" i="1"/>
  <c r="BD576" i="1"/>
  <c r="AQ576" i="1"/>
  <c r="AD576" i="1"/>
  <c r="Q576" i="1"/>
  <c r="BD575" i="1"/>
  <c r="AQ575" i="1"/>
  <c r="AD575" i="1"/>
  <c r="Q575" i="1"/>
  <c r="BB572" i="1"/>
  <c r="BA572" i="1"/>
  <c r="AZ572" i="1"/>
  <c r="AY572" i="1"/>
  <c r="AX572" i="1"/>
  <c r="AW572" i="1"/>
  <c r="AV572" i="1"/>
  <c r="AU572" i="1"/>
  <c r="AT572" i="1"/>
  <c r="AS572" i="1"/>
  <c r="AR572" i="1"/>
  <c r="BC571" i="1"/>
  <c r="AP571" i="1"/>
  <c r="AP572" i="1" s="1"/>
  <c r="AO571" i="1"/>
  <c r="AO572" i="1" s="1"/>
  <c r="AN571" i="1"/>
  <c r="AN572" i="1" s="1"/>
  <c r="AM571" i="1"/>
  <c r="AM572" i="1" s="1"/>
  <c r="AL571" i="1"/>
  <c r="AL572" i="1" s="1"/>
  <c r="AK571" i="1"/>
  <c r="AK572" i="1" s="1"/>
  <c r="AJ571" i="1"/>
  <c r="AJ572" i="1" s="1"/>
  <c r="AI571" i="1"/>
  <c r="AI572" i="1" s="1"/>
  <c r="AH571" i="1"/>
  <c r="AH572" i="1" s="1"/>
  <c r="AG571" i="1"/>
  <c r="AG572" i="1" s="1"/>
  <c r="AF571" i="1"/>
  <c r="AF572" i="1" s="1"/>
  <c r="AE571" i="1"/>
  <c r="AE572" i="1" s="1"/>
  <c r="AC571" i="1"/>
  <c r="AC572" i="1" s="1"/>
  <c r="AB571" i="1"/>
  <c r="AB572" i="1" s="1"/>
  <c r="AA571" i="1"/>
  <c r="AA572" i="1" s="1"/>
  <c r="Z571" i="1"/>
  <c r="Z572" i="1" s="1"/>
  <c r="Y571" i="1"/>
  <c r="Y572" i="1" s="1"/>
  <c r="X571" i="1"/>
  <c r="X572" i="1" s="1"/>
  <c r="W571" i="1"/>
  <c r="W572" i="1" s="1"/>
  <c r="V571" i="1"/>
  <c r="V572" i="1" s="1"/>
  <c r="U571" i="1"/>
  <c r="U572" i="1" s="1"/>
  <c r="T571" i="1"/>
  <c r="T572" i="1" s="1"/>
  <c r="S571" i="1"/>
  <c r="S572" i="1" s="1"/>
  <c r="R571" i="1"/>
  <c r="R572" i="1" s="1"/>
  <c r="P571" i="1"/>
  <c r="P572" i="1" s="1"/>
  <c r="O571" i="1"/>
  <c r="O572" i="1" s="1"/>
  <c r="N571" i="1"/>
  <c r="N572" i="1" s="1"/>
  <c r="M571" i="1"/>
  <c r="M572" i="1" s="1"/>
  <c r="L571" i="1"/>
  <c r="L572" i="1" s="1"/>
  <c r="K571" i="1"/>
  <c r="K572" i="1" s="1"/>
  <c r="J571" i="1"/>
  <c r="J572" i="1" s="1"/>
  <c r="I571" i="1"/>
  <c r="I572" i="1" s="1"/>
  <c r="H571" i="1"/>
  <c r="H572" i="1" s="1"/>
  <c r="G571" i="1"/>
  <c r="G572" i="1" s="1"/>
  <c r="F571" i="1"/>
  <c r="E571" i="1"/>
  <c r="E572" i="1" s="1"/>
  <c r="BD570" i="1"/>
  <c r="AQ570" i="1"/>
  <c r="AD570" i="1"/>
  <c r="Q570" i="1"/>
  <c r="BD569" i="1"/>
  <c r="AQ569" i="1"/>
  <c r="AD569" i="1"/>
  <c r="Q569" i="1"/>
  <c r="O566" i="1"/>
  <c r="N566" i="1"/>
  <c r="M566" i="1"/>
  <c r="L566" i="1"/>
  <c r="K566" i="1"/>
  <c r="J566" i="1"/>
  <c r="I566" i="1"/>
  <c r="H566" i="1"/>
  <c r="G566" i="1"/>
  <c r="F566" i="1"/>
  <c r="E566" i="1"/>
  <c r="BC565" i="1"/>
  <c r="BC566" i="1" s="1"/>
  <c r="BB565" i="1"/>
  <c r="BB566" i="1" s="1"/>
  <c r="BA565" i="1"/>
  <c r="BA566" i="1" s="1"/>
  <c r="AZ565" i="1"/>
  <c r="AZ566" i="1" s="1"/>
  <c r="AY565" i="1"/>
  <c r="AY566" i="1" s="1"/>
  <c r="AX565" i="1"/>
  <c r="AX566" i="1" s="1"/>
  <c r="AW565" i="1"/>
  <c r="AV565" i="1"/>
  <c r="AV566" i="1" s="1"/>
  <c r="AU565" i="1"/>
  <c r="AU566" i="1" s="1"/>
  <c r="AT565" i="1"/>
  <c r="AT566" i="1" s="1"/>
  <c r="AS565" i="1"/>
  <c r="AS566" i="1" s="1"/>
  <c r="AR565" i="1"/>
  <c r="AP565" i="1"/>
  <c r="AP566" i="1" s="1"/>
  <c r="AO565" i="1"/>
  <c r="AO566" i="1" s="1"/>
  <c r="AN565" i="1"/>
  <c r="AN566" i="1" s="1"/>
  <c r="AM565" i="1"/>
  <c r="AM566" i="1" s="1"/>
  <c r="AL565" i="1"/>
  <c r="AL566" i="1" s="1"/>
  <c r="AK565" i="1"/>
  <c r="AK566" i="1" s="1"/>
  <c r="AJ565" i="1"/>
  <c r="AJ566" i="1" s="1"/>
  <c r="AI565" i="1"/>
  <c r="AI566" i="1" s="1"/>
  <c r="AH565" i="1"/>
  <c r="AH566" i="1" s="1"/>
  <c r="AG565" i="1"/>
  <c r="AG566" i="1" s="1"/>
  <c r="AF565" i="1"/>
  <c r="AF566" i="1" s="1"/>
  <c r="AE565" i="1"/>
  <c r="AC565" i="1"/>
  <c r="AC566" i="1" s="1"/>
  <c r="AB565" i="1"/>
  <c r="AB566" i="1" s="1"/>
  <c r="AA565" i="1"/>
  <c r="AA566" i="1" s="1"/>
  <c r="Z565" i="1"/>
  <c r="Z566" i="1" s="1"/>
  <c r="Y565" i="1"/>
  <c r="Y566" i="1" s="1"/>
  <c r="X565" i="1"/>
  <c r="X566" i="1" s="1"/>
  <c r="W565" i="1"/>
  <c r="W566" i="1" s="1"/>
  <c r="V565" i="1"/>
  <c r="V566" i="1" s="1"/>
  <c r="U565" i="1"/>
  <c r="U566" i="1" s="1"/>
  <c r="T565" i="1"/>
  <c r="T566" i="1" s="1"/>
  <c r="S565" i="1"/>
  <c r="S566" i="1" s="1"/>
  <c r="R565" i="1"/>
  <c r="P565" i="1"/>
  <c r="P566" i="1" s="1"/>
  <c r="BD564" i="1"/>
  <c r="AQ564" i="1"/>
  <c r="AD564" i="1"/>
  <c r="Q564" i="1"/>
  <c r="BD563" i="1"/>
  <c r="AQ563" i="1"/>
  <c r="AD563" i="1"/>
  <c r="Q563" i="1"/>
  <c r="AB560" i="1"/>
  <c r="AA560" i="1"/>
  <c r="Z560" i="1"/>
  <c r="Y560" i="1"/>
  <c r="X560" i="1"/>
  <c r="W560" i="1"/>
  <c r="V560" i="1"/>
  <c r="U560" i="1"/>
  <c r="T560" i="1"/>
  <c r="S560" i="1"/>
  <c r="R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BC559" i="1"/>
  <c r="BC560" i="1" s="1"/>
  <c r="BB559" i="1"/>
  <c r="BB560" i="1" s="1"/>
  <c r="BA559" i="1"/>
  <c r="BA560" i="1" s="1"/>
  <c r="AZ559" i="1"/>
  <c r="AZ560" i="1" s="1"/>
  <c r="AY559" i="1"/>
  <c r="AY560" i="1" s="1"/>
  <c r="AX559" i="1"/>
  <c r="AX560" i="1" s="1"/>
  <c r="AW559" i="1"/>
  <c r="AV559" i="1"/>
  <c r="AV560" i="1" s="1"/>
  <c r="AU559" i="1"/>
  <c r="AU560" i="1" s="1"/>
  <c r="AT559" i="1"/>
  <c r="AT560" i="1" s="1"/>
  <c r="AS559" i="1"/>
  <c r="AS560" i="1" s="1"/>
  <c r="AR559" i="1"/>
  <c r="AP559" i="1"/>
  <c r="AP560" i="1" s="1"/>
  <c r="AO559" i="1"/>
  <c r="AO560" i="1" s="1"/>
  <c r="AN559" i="1"/>
  <c r="AN560" i="1" s="1"/>
  <c r="AM559" i="1"/>
  <c r="AM560" i="1" s="1"/>
  <c r="AL559" i="1"/>
  <c r="AL560" i="1" s="1"/>
  <c r="AK559" i="1"/>
  <c r="AK560" i="1" s="1"/>
  <c r="AJ559" i="1"/>
  <c r="AJ560" i="1" s="1"/>
  <c r="AI559" i="1"/>
  <c r="AI560" i="1" s="1"/>
  <c r="AH559" i="1"/>
  <c r="AH560" i="1" s="1"/>
  <c r="AG559" i="1"/>
  <c r="AG560" i="1" s="1"/>
  <c r="AF559" i="1"/>
  <c r="AE559" i="1"/>
  <c r="AE560" i="1" s="1"/>
  <c r="AC559" i="1"/>
  <c r="Q559" i="1"/>
  <c r="BD558" i="1"/>
  <c r="AQ558" i="1"/>
  <c r="AD558" i="1"/>
  <c r="Q558" i="1"/>
  <c r="BD557" i="1"/>
  <c r="AQ557" i="1"/>
  <c r="AD557" i="1"/>
  <c r="Q557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BC553" i="1"/>
  <c r="BC554" i="1" s="1"/>
  <c r="BB553" i="1"/>
  <c r="BB554" i="1" s="1"/>
  <c r="BA553" i="1"/>
  <c r="BA554" i="1" s="1"/>
  <c r="AZ553" i="1"/>
  <c r="AZ554" i="1" s="1"/>
  <c r="AY553" i="1"/>
  <c r="AY554" i="1" s="1"/>
  <c r="AX553" i="1"/>
  <c r="AX554" i="1" s="1"/>
  <c r="AW553" i="1"/>
  <c r="AV553" i="1"/>
  <c r="AV554" i="1" s="1"/>
  <c r="AU553" i="1"/>
  <c r="AU554" i="1" s="1"/>
  <c r="AT553" i="1"/>
  <c r="AT554" i="1" s="1"/>
  <c r="AS553" i="1"/>
  <c r="AS554" i="1" s="1"/>
  <c r="AR553" i="1"/>
  <c r="AP553" i="1"/>
  <c r="AP554" i="1" s="1"/>
  <c r="AO553" i="1"/>
  <c r="AO554" i="1" s="1"/>
  <c r="AN553" i="1"/>
  <c r="AN554" i="1" s="1"/>
  <c r="AM553" i="1"/>
  <c r="AM554" i="1" s="1"/>
  <c r="AL553" i="1"/>
  <c r="AL554" i="1" s="1"/>
  <c r="AK553" i="1"/>
  <c r="AK554" i="1" s="1"/>
  <c r="AJ553" i="1"/>
  <c r="AJ554" i="1" s="1"/>
  <c r="AI553" i="1"/>
  <c r="AI554" i="1" s="1"/>
  <c r="AH553" i="1"/>
  <c r="AH554" i="1" s="1"/>
  <c r="AG553" i="1"/>
  <c r="AG554" i="1" s="1"/>
  <c r="AF553" i="1"/>
  <c r="AF554" i="1" s="1"/>
  <c r="AE553" i="1"/>
  <c r="AC553" i="1"/>
  <c r="AC554" i="1" s="1"/>
  <c r="AB553" i="1"/>
  <c r="AB554" i="1" s="1"/>
  <c r="AA553" i="1"/>
  <c r="AA554" i="1" s="1"/>
  <c r="Z553" i="1"/>
  <c r="Z554" i="1" s="1"/>
  <c r="Y553" i="1"/>
  <c r="Y554" i="1" s="1"/>
  <c r="X553" i="1"/>
  <c r="X554" i="1" s="1"/>
  <c r="W553" i="1"/>
  <c r="W554" i="1" s="1"/>
  <c r="V553" i="1"/>
  <c r="V554" i="1" s="1"/>
  <c r="U553" i="1"/>
  <c r="U554" i="1" s="1"/>
  <c r="T553" i="1"/>
  <c r="T554" i="1" s="1"/>
  <c r="S553" i="1"/>
  <c r="S554" i="1" s="1"/>
  <c r="R553" i="1"/>
  <c r="Q553" i="1"/>
  <c r="BD552" i="1"/>
  <c r="AQ552" i="1"/>
  <c r="AD552" i="1"/>
  <c r="Q552" i="1"/>
  <c r="BD551" i="1"/>
  <c r="AQ551" i="1"/>
  <c r="AD551" i="1"/>
  <c r="Q551" i="1"/>
  <c r="BC547" i="1"/>
  <c r="BC548" i="1" s="1"/>
  <c r="BB547" i="1"/>
  <c r="BB548" i="1" s="1"/>
  <c r="BA547" i="1"/>
  <c r="BA548" i="1" s="1"/>
  <c r="AZ547" i="1"/>
  <c r="AZ548" i="1" s="1"/>
  <c r="AY547" i="1"/>
  <c r="AY548" i="1" s="1"/>
  <c r="AX547" i="1"/>
  <c r="AX548" i="1" s="1"/>
  <c r="AW547" i="1"/>
  <c r="AV547" i="1"/>
  <c r="AV548" i="1" s="1"/>
  <c r="AU547" i="1"/>
  <c r="AU548" i="1" s="1"/>
  <c r="AT547" i="1"/>
  <c r="AT548" i="1" s="1"/>
  <c r="AS547" i="1"/>
  <c r="AS548" i="1" s="1"/>
  <c r="AR547" i="1"/>
  <c r="AP547" i="1"/>
  <c r="AP548" i="1" s="1"/>
  <c r="AO547" i="1"/>
  <c r="AO548" i="1" s="1"/>
  <c r="AN547" i="1"/>
  <c r="AN548" i="1" s="1"/>
  <c r="AM547" i="1"/>
  <c r="AM548" i="1" s="1"/>
  <c r="AL547" i="1"/>
  <c r="AL548" i="1" s="1"/>
  <c r="AK547" i="1"/>
  <c r="AK548" i="1" s="1"/>
  <c r="AJ547" i="1"/>
  <c r="AJ548" i="1" s="1"/>
  <c r="AI547" i="1"/>
  <c r="AI548" i="1" s="1"/>
  <c r="AH547" i="1"/>
  <c r="AH548" i="1" s="1"/>
  <c r="AG547" i="1"/>
  <c r="AG548" i="1" s="1"/>
  <c r="AF547" i="1"/>
  <c r="AF548" i="1" s="1"/>
  <c r="AE547" i="1"/>
  <c r="AC547" i="1"/>
  <c r="AC548" i="1" s="1"/>
  <c r="AB547" i="1"/>
  <c r="AB548" i="1" s="1"/>
  <c r="AA547" i="1"/>
  <c r="AA548" i="1" s="1"/>
  <c r="Z547" i="1"/>
  <c r="Z548" i="1" s="1"/>
  <c r="Y547" i="1"/>
  <c r="Y548" i="1" s="1"/>
  <c r="X547" i="1"/>
  <c r="X548" i="1" s="1"/>
  <c r="W547" i="1"/>
  <c r="W548" i="1" s="1"/>
  <c r="V547" i="1"/>
  <c r="V548" i="1" s="1"/>
  <c r="U547" i="1"/>
  <c r="U548" i="1" s="1"/>
  <c r="T547" i="1"/>
  <c r="T548" i="1" s="1"/>
  <c r="S547" i="1"/>
  <c r="S548" i="1" s="1"/>
  <c r="R547" i="1"/>
  <c r="R548" i="1" s="1"/>
  <c r="P547" i="1"/>
  <c r="P548" i="1" s="1"/>
  <c r="O547" i="1"/>
  <c r="O548" i="1" s="1"/>
  <c r="N547" i="1"/>
  <c r="N548" i="1" s="1"/>
  <c r="M547" i="1"/>
  <c r="M548" i="1" s="1"/>
  <c r="L547" i="1"/>
  <c r="L548" i="1" s="1"/>
  <c r="K547" i="1"/>
  <c r="K548" i="1" s="1"/>
  <c r="J547" i="1"/>
  <c r="J548" i="1" s="1"/>
  <c r="I547" i="1"/>
  <c r="I548" i="1" s="1"/>
  <c r="H547" i="1"/>
  <c r="H548" i="1" s="1"/>
  <c r="G547" i="1"/>
  <c r="G548" i="1" s="1"/>
  <c r="F547" i="1"/>
  <c r="F548" i="1" s="1"/>
  <c r="E547" i="1"/>
  <c r="E548" i="1" s="1"/>
  <c r="BD546" i="1"/>
  <c r="AQ546" i="1"/>
  <c r="AD546" i="1"/>
  <c r="Q546" i="1"/>
  <c r="BD545" i="1"/>
  <c r="AQ545" i="1"/>
  <c r="AD545" i="1"/>
  <c r="Q545" i="1"/>
  <c r="BC541" i="1"/>
  <c r="BC542" i="1" s="1"/>
  <c r="BB541" i="1"/>
  <c r="BB542" i="1" s="1"/>
  <c r="BA541" i="1"/>
  <c r="BA542" i="1" s="1"/>
  <c r="AZ541" i="1"/>
  <c r="AZ542" i="1" s="1"/>
  <c r="AY541" i="1"/>
  <c r="AY542" i="1" s="1"/>
  <c r="AX541" i="1"/>
  <c r="AX542" i="1" s="1"/>
  <c r="AW541" i="1"/>
  <c r="AV541" i="1"/>
  <c r="AV542" i="1" s="1"/>
  <c r="AU541" i="1"/>
  <c r="AU542" i="1" s="1"/>
  <c r="AT541" i="1"/>
  <c r="AT542" i="1" s="1"/>
  <c r="AS541" i="1"/>
  <c r="AS542" i="1" s="1"/>
  <c r="AR541" i="1"/>
  <c r="AP541" i="1"/>
  <c r="AP542" i="1" s="1"/>
  <c r="AO541" i="1"/>
  <c r="AO542" i="1" s="1"/>
  <c r="AN541" i="1"/>
  <c r="AN542" i="1" s="1"/>
  <c r="AM541" i="1"/>
  <c r="AM542" i="1" s="1"/>
  <c r="AL541" i="1"/>
  <c r="AL542" i="1" s="1"/>
  <c r="AK541" i="1"/>
  <c r="AK542" i="1" s="1"/>
  <c r="AJ541" i="1"/>
  <c r="AJ542" i="1" s="1"/>
  <c r="AI541" i="1"/>
  <c r="AI542" i="1" s="1"/>
  <c r="AH541" i="1"/>
  <c r="AH542" i="1" s="1"/>
  <c r="AG541" i="1"/>
  <c r="AG542" i="1" s="1"/>
  <c r="AF541" i="1"/>
  <c r="AE541" i="1"/>
  <c r="AE542" i="1" s="1"/>
  <c r="AC541" i="1"/>
  <c r="AC542" i="1" s="1"/>
  <c r="AB541" i="1"/>
  <c r="AB542" i="1" s="1"/>
  <c r="AA541" i="1"/>
  <c r="AA542" i="1" s="1"/>
  <c r="Z541" i="1"/>
  <c r="Z542" i="1" s="1"/>
  <c r="Y541" i="1"/>
  <c r="Y542" i="1" s="1"/>
  <c r="X541" i="1"/>
  <c r="X542" i="1" s="1"/>
  <c r="W541" i="1"/>
  <c r="W542" i="1" s="1"/>
  <c r="V541" i="1"/>
  <c r="V542" i="1" s="1"/>
  <c r="U541" i="1"/>
  <c r="U542" i="1" s="1"/>
  <c r="T541" i="1"/>
  <c r="T542" i="1" s="1"/>
  <c r="S541" i="1"/>
  <c r="S542" i="1" s="1"/>
  <c r="R541" i="1"/>
  <c r="P541" i="1"/>
  <c r="P542" i="1" s="1"/>
  <c r="O541" i="1"/>
  <c r="O542" i="1" s="1"/>
  <c r="N541" i="1"/>
  <c r="N542" i="1" s="1"/>
  <c r="M541" i="1"/>
  <c r="M542" i="1" s="1"/>
  <c r="L541" i="1"/>
  <c r="L542" i="1" s="1"/>
  <c r="K541" i="1"/>
  <c r="K542" i="1" s="1"/>
  <c r="J541" i="1"/>
  <c r="J542" i="1" s="1"/>
  <c r="I541" i="1"/>
  <c r="I542" i="1" s="1"/>
  <c r="H541" i="1"/>
  <c r="H542" i="1" s="1"/>
  <c r="G541" i="1"/>
  <c r="G542" i="1" s="1"/>
  <c r="F541" i="1"/>
  <c r="F542" i="1" s="1"/>
  <c r="E541" i="1"/>
  <c r="BD540" i="1"/>
  <c r="AQ540" i="1"/>
  <c r="AD540" i="1"/>
  <c r="Q540" i="1"/>
  <c r="BD539" i="1"/>
  <c r="AQ539" i="1"/>
  <c r="AD539" i="1"/>
  <c r="Q539" i="1"/>
  <c r="P536" i="1"/>
  <c r="O536" i="1"/>
  <c r="N536" i="1"/>
  <c r="M536" i="1"/>
  <c r="L536" i="1"/>
  <c r="K535" i="1"/>
  <c r="K536" i="1" s="1"/>
  <c r="J535" i="1"/>
  <c r="J536" i="1" s="1"/>
  <c r="I535" i="1"/>
  <c r="I536" i="1" s="1"/>
  <c r="H535" i="1"/>
  <c r="H536" i="1" s="1"/>
  <c r="G535" i="1"/>
  <c r="G536" i="1" s="1"/>
  <c r="F535" i="1"/>
  <c r="F536" i="1" s="1"/>
  <c r="E535" i="1"/>
  <c r="E536" i="1" s="1"/>
  <c r="Q534" i="1"/>
  <c r="Q533" i="1"/>
  <c r="BC530" i="1"/>
  <c r="BB530" i="1"/>
  <c r="BA530" i="1"/>
  <c r="AZ530" i="1"/>
  <c r="AY530" i="1"/>
  <c r="AX530" i="1"/>
  <c r="AW530" i="1"/>
  <c r="AV530" i="1"/>
  <c r="AU530" i="1"/>
  <c r="AT530" i="1"/>
  <c r="AS530" i="1"/>
  <c r="AR530" i="1"/>
  <c r="AP530" i="1"/>
  <c r="AO530" i="1"/>
  <c r="AN530" i="1"/>
  <c r="AM530" i="1"/>
  <c r="AL530" i="1"/>
  <c r="AK530" i="1"/>
  <c r="AJ530" i="1"/>
  <c r="AI530" i="1"/>
  <c r="AH530" i="1"/>
  <c r="AG530" i="1"/>
  <c r="AF530" i="1"/>
  <c r="AE530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BD529" i="1"/>
  <c r="AQ529" i="1"/>
  <c r="AD529" i="1"/>
  <c r="Q529" i="1"/>
  <c r="BD528" i="1"/>
  <c r="AQ528" i="1"/>
  <c r="AD528" i="1"/>
  <c r="Q528" i="1"/>
  <c r="BD527" i="1"/>
  <c r="AQ527" i="1"/>
  <c r="AD527" i="1"/>
  <c r="Q527" i="1"/>
  <c r="L524" i="1"/>
  <c r="K524" i="1"/>
  <c r="J524" i="1"/>
  <c r="I524" i="1"/>
  <c r="H524" i="1"/>
  <c r="G524" i="1"/>
  <c r="F524" i="1"/>
  <c r="E524" i="1"/>
  <c r="BC523" i="1"/>
  <c r="BC524" i="1" s="1"/>
  <c r="BB523" i="1"/>
  <c r="BB524" i="1" s="1"/>
  <c r="BA523" i="1"/>
  <c r="BA524" i="1" s="1"/>
  <c r="AZ523" i="1"/>
  <c r="AZ524" i="1" s="1"/>
  <c r="AY523" i="1"/>
  <c r="AY524" i="1" s="1"/>
  <c r="AX523" i="1"/>
  <c r="AX524" i="1" s="1"/>
  <c r="AW523" i="1"/>
  <c r="AV523" i="1"/>
  <c r="AV524" i="1" s="1"/>
  <c r="AU523" i="1"/>
  <c r="AU524" i="1" s="1"/>
  <c r="AT523" i="1"/>
  <c r="AT524" i="1" s="1"/>
  <c r="AS523" i="1"/>
  <c r="AS524" i="1" s="1"/>
  <c r="AR523" i="1"/>
  <c r="AP523" i="1"/>
  <c r="AP524" i="1" s="1"/>
  <c r="AO523" i="1"/>
  <c r="AO524" i="1" s="1"/>
  <c r="AN523" i="1"/>
  <c r="AN524" i="1" s="1"/>
  <c r="AM523" i="1"/>
  <c r="AM524" i="1" s="1"/>
  <c r="AL523" i="1"/>
  <c r="AL524" i="1" s="1"/>
  <c r="AK523" i="1"/>
  <c r="AK524" i="1" s="1"/>
  <c r="AJ523" i="1"/>
  <c r="AJ524" i="1" s="1"/>
  <c r="AI523" i="1"/>
  <c r="AI524" i="1" s="1"/>
  <c r="AH523" i="1"/>
  <c r="AH524" i="1" s="1"/>
  <c r="AG523" i="1"/>
  <c r="AG524" i="1" s="1"/>
  <c r="AF523" i="1"/>
  <c r="AF524" i="1" s="1"/>
  <c r="AE523" i="1"/>
  <c r="AE524" i="1" s="1"/>
  <c r="AC523" i="1"/>
  <c r="AC524" i="1" s="1"/>
  <c r="AB523" i="1"/>
  <c r="AB524" i="1" s="1"/>
  <c r="AA523" i="1"/>
  <c r="AA524" i="1" s="1"/>
  <c r="Z523" i="1"/>
  <c r="Z524" i="1" s="1"/>
  <c r="Y523" i="1"/>
  <c r="Y524" i="1" s="1"/>
  <c r="X523" i="1"/>
  <c r="X524" i="1" s="1"/>
  <c r="W523" i="1"/>
  <c r="W524" i="1" s="1"/>
  <c r="V523" i="1"/>
  <c r="V524" i="1" s="1"/>
  <c r="U523" i="1"/>
  <c r="U524" i="1" s="1"/>
  <c r="T523" i="1"/>
  <c r="T524" i="1" s="1"/>
  <c r="S523" i="1"/>
  <c r="S524" i="1" s="1"/>
  <c r="R523" i="1"/>
  <c r="R524" i="1" s="1"/>
  <c r="P523" i="1"/>
  <c r="P524" i="1" s="1"/>
  <c r="O523" i="1"/>
  <c r="O524" i="1" s="1"/>
  <c r="N523" i="1"/>
  <c r="M523" i="1"/>
  <c r="M524" i="1" s="1"/>
  <c r="BD522" i="1"/>
  <c r="AQ522" i="1"/>
  <c r="AD522" i="1"/>
  <c r="Q522" i="1"/>
  <c r="BD521" i="1"/>
  <c r="AQ521" i="1"/>
  <c r="AD521" i="1"/>
  <c r="Q521" i="1"/>
  <c r="AP518" i="1"/>
  <c r="AO518" i="1"/>
  <c r="AN518" i="1"/>
  <c r="AM518" i="1"/>
  <c r="AL518" i="1"/>
  <c r="AK518" i="1"/>
  <c r="AJ518" i="1"/>
  <c r="AI518" i="1"/>
  <c r="AH518" i="1"/>
  <c r="AG518" i="1"/>
  <c r="AF518" i="1"/>
  <c r="AE518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BC517" i="1"/>
  <c r="BC518" i="1" s="1"/>
  <c r="BB517" i="1"/>
  <c r="BB518" i="1" s="1"/>
  <c r="BA517" i="1"/>
  <c r="BA518" i="1" s="1"/>
  <c r="AZ517" i="1"/>
  <c r="AZ518" i="1" s="1"/>
  <c r="AY517" i="1"/>
  <c r="AY518" i="1" s="1"/>
  <c r="AX517" i="1"/>
  <c r="AX518" i="1" s="1"/>
  <c r="AW517" i="1"/>
  <c r="AV517" i="1"/>
  <c r="AV518" i="1" s="1"/>
  <c r="AU517" i="1"/>
  <c r="AU518" i="1" s="1"/>
  <c r="AT517" i="1"/>
  <c r="AT518" i="1" s="1"/>
  <c r="AS517" i="1"/>
  <c r="AS518" i="1" s="1"/>
  <c r="AR517" i="1"/>
  <c r="AQ517" i="1"/>
  <c r="AD517" i="1"/>
  <c r="Q517" i="1"/>
  <c r="BD516" i="1"/>
  <c r="AQ516" i="1"/>
  <c r="AD516" i="1"/>
  <c r="Q516" i="1"/>
  <c r="BD515" i="1"/>
  <c r="AQ515" i="1"/>
  <c r="AD515" i="1"/>
  <c r="Q515" i="1"/>
  <c r="AP512" i="1"/>
  <c r="AO512" i="1"/>
  <c r="AN512" i="1"/>
  <c r="AM512" i="1"/>
  <c r="AL512" i="1"/>
  <c r="AK512" i="1"/>
  <c r="AJ512" i="1"/>
  <c r="AI512" i="1"/>
  <c r="AH512" i="1"/>
  <c r="AG512" i="1"/>
  <c r="AF512" i="1"/>
  <c r="AE512" i="1"/>
  <c r="AC512" i="1"/>
  <c r="AB512" i="1"/>
  <c r="AA512" i="1"/>
  <c r="Z512" i="1"/>
  <c r="Y512" i="1"/>
  <c r="X512" i="1"/>
  <c r="W512" i="1"/>
  <c r="V512" i="1"/>
  <c r="U512" i="1"/>
  <c r="T512" i="1"/>
  <c r="S512" i="1"/>
  <c r="R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BC511" i="1"/>
  <c r="BC512" i="1" s="1"/>
  <c r="BB511" i="1"/>
  <c r="BB512" i="1" s="1"/>
  <c r="BA511" i="1"/>
  <c r="BA512" i="1" s="1"/>
  <c r="AZ511" i="1"/>
  <c r="AZ512" i="1" s="1"/>
  <c r="AY511" i="1"/>
  <c r="AY512" i="1" s="1"/>
  <c r="AX511" i="1"/>
  <c r="AX512" i="1" s="1"/>
  <c r="AW511" i="1"/>
  <c r="AV511" i="1"/>
  <c r="AV512" i="1" s="1"/>
  <c r="AU511" i="1"/>
  <c r="AU512" i="1" s="1"/>
  <c r="AT511" i="1"/>
  <c r="AT512" i="1" s="1"/>
  <c r="AS511" i="1"/>
  <c r="AS512" i="1" s="1"/>
  <c r="AR511" i="1"/>
  <c r="AQ511" i="1"/>
  <c r="AD511" i="1"/>
  <c r="Q511" i="1"/>
  <c r="BD510" i="1"/>
  <c r="AQ510" i="1"/>
  <c r="AD510" i="1"/>
  <c r="Q510" i="1"/>
  <c r="BD509" i="1"/>
  <c r="AQ509" i="1"/>
  <c r="AD509" i="1"/>
  <c r="Q509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Q505" i="1"/>
  <c r="Q504" i="1"/>
  <c r="Q503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AD499" i="1"/>
  <c r="Q499" i="1"/>
  <c r="AD498" i="1"/>
  <c r="Q498" i="1"/>
  <c r="AD497" i="1"/>
  <c r="Q497" i="1"/>
  <c r="BC493" i="1"/>
  <c r="BC494" i="1" s="1"/>
  <c r="BB493" i="1"/>
  <c r="BB494" i="1" s="1"/>
  <c r="BA493" i="1"/>
  <c r="BA494" i="1" s="1"/>
  <c r="AZ493" i="1"/>
  <c r="AZ494" i="1" s="1"/>
  <c r="AY493" i="1"/>
  <c r="AY494" i="1" s="1"/>
  <c r="AX493" i="1"/>
  <c r="AX494" i="1" s="1"/>
  <c r="AW493" i="1"/>
  <c r="AV493" i="1"/>
  <c r="AV494" i="1" s="1"/>
  <c r="AU493" i="1"/>
  <c r="AU494" i="1" s="1"/>
  <c r="AT493" i="1"/>
  <c r="AT494" i="1" s="1"/>
  <c r="AS493" i="1"/>
  <c r="AS494" i="1" s="1"/>
  <c r="AR493" i="1"/>
  <c r="AP493" i="1"/>
  <c r="AP494" i="1" s="1"/>
  <c r="AO493" i="1"/>
  <c r="AO494" i="1" s="1"/>
  <c r="AN493" i="1"/>
  <c r="AN494" i="1" s="1"/>
  <c r="AM493" i="1"/>
  <c r="AM494" i="1" s="1"/>
  <c r="AL493" i="1"/>
  <c r="AL494" i="1" s="1"/>
  <c r="AK493" i="1"/>
  <c r="AK494" i="1" s="1"/>
  <c r="AJ493" i="1"/>
  <c r="AJ494" i="1" s="1"/>
  <c r="AI493" i="1"/>
  <c r="AI494" i="1" s="1"/>
  <c r="AH493" i="1"/>
  <c r="AH494" i="1" s="1"/>
  <c r="AG493" i="1"/>
  <c r="AG494" i="1" s="1"/>
  <c r="AF493" i="1"/>
  <c r="AF494" i="1" s="1"/>
  <c r="AE493" i="1"/>
  <c r="AE494" i="1" s="1"/>
  <c r="AC493" i="1"/>
  <c r="AC494" i="1" s="1"/>
  <c r="AB493" i="1"/>
  <c r="AB494" i="1" s="1"/>
  <c r="AA493" i="1"/>
  <c r="AA494" i="1" s="1"/>
  <c r="Z493" i="1"/>
  <c r="Z494" i="1" s="1"/>
  <c r="Y493" i="1"/>
  <c r="Y494" i="1" s="1"/>
  <c r="X493" i="1"/>
  <c r="X494" i="1" s="1"/>
  <c r="W493" i="1"/>
  <c r="W494" i="1" s="1"/>
  <c r="V493" i="1"/>
  <c r="V494" i="1" s="1"/>
  <c r="U493" i="1"/>
  <c r="U494" i="1" s="1"/>
  <c r="T493" i="1"/>
  <c r="T494" i="1" s="1"/>
  <c r="S493" i="1"/>
  <c r="S494" i="1" s="1"/>
  <c r="R493" i="1"/>
  <c r="R494" i="1" s="1"/>
  <c r="P493" i="1"/>
  <c r="P494" i="1" s="1"/>
  <c r="O493" i="1"/>
  <c r="O494" i="1" s="1"/>
  <c r="N493" i="1"/>
  <c r="N494" i="1" s="1"/>
  <c r="M493" i="1"/>
  <c r="M494" i="1" s="1"/>
  <c r="L493" i="1"/>
  <c r="L494" i="1" s="1"/>
  <c r="K493" i="1"/>
  <c r="K494" i="1" s="1"/>
  <c r="J493" i="1"/>
  <c r="J494" i="1" s="1"/>
  <c r="I493" i="1"/>
  <c r="I494" i="1" s="1"/>
  <c r="H493" i="1"/>
  <c r="H494" i="1" s="1"/>
  <c r="G493" i="1"/>
  <c r="G494" i="1" s="1"/>
  <c r="F493" i="1"/>
  <c r="F494" i="1" s="1"/>
  <c r="E493" i="1"/>
  <c r="E494" i="1" s="1"/>
  <c r="BD492" i="1"/>
  <c r="AQ492" i="1"/>
  <c r="AD492" i="1"/>
  <c r="Q492" i="1"/>
  <c r="BD491" i="1"/>
  <c r="AQ491" i="1"/>
  <c r="AD491" i="1"/>
  <c r="Q491" i="1"/>
  <c r="AP488" i="1"/>
  <c r="AO488" i="1"/>
  <c r="AN488" i="1"/>
  <c r="AM488" i="1"/>
  <c r="AL488" i="1"/>
  <c r="AK488" i="1"/>
  <c r="AJ488" i="1"/>
  <c r="AI488" i="1"/>
  <c r="AH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AG487" i="1"/>
  <c r="AG488" i="1" s="1"/>
  <c r="AF487" i="1"/>
  <c r="AF488" i="1" s="1"/>
  <c r="AE487" i="1"/>
  <c r="AC487" i="1"/>
  <c r="AC488" i="1" s="1"/>
  <c r="AB487" i="1"/>
  <c r="AB488" i="1" s="1"/>
  <c r="AA487" i="1"/>
  <c r="AA488" i="1" s="1"/>
  <c r="Z487" i="1"/>
  <c r="Z488" i="1" s="1"/>
  <c r="Y487" i="1"/>
  <c r="Y488" i="1" s="1"/>
  <c r="X487" i="1"/>
  <c r="X488" i="1" s="1"/>
  <c r="W487" i="1"/>
  <c r="W488" i="1" s="1"/>
  <c r="V487" i="1"/>
  <c r="V488" i="1" s="1"/>
  <c r="U487" i="1"/>
  <c r="U488" i="1" s="1"/>
  <c r="T487" i="1"/>
  <c r="T488" i="1" s="1"/>
  <c r="S487" i="1"/>
  <c r="S488" i="1" s="1"/>
  <c r="R487" i="1"/>
  <c r="R488" i="1" s="1"/>
  <c r="Q487" i="1"/>
  <c r="AQ486" i="1"/>
  <c r="AD486" i="1"/>
  <c r="Q486" i="1"/>
  <c r="AQ485" i="1"/>
  <c r="AD485" i="1"/>
  <c r="Q485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BC481" i="1"/>
  <c r="BC482" i="1" s="1"/>
  <c r="BB481" i="1"/>
  <c r="BB482" i="1" s="1"/>
  <c r="BA481" i="1"/>
  <c r="BA482" i="1" s="1"/>
  <c r="AZ481" i="1"/>
  <c r="AZ482" i="1" s="1"/>
  <c r="AY481" i="1"/>
  <c r="AY482" i="1" s="1"/>
  <c r="AX481" i="1"/>
  <c r="AX482" i="1" s="1"/>
  <c r="AW481" i="1"/>
  <c r="AV481" i="1"/>
  <c r="AV482" i="1" s="1"/>
  <c r="AU481" i="1"/>
  <c r="AU482" i="1" s="1"/>
  <c r="AT481" i="1"/>
  <c r="AT482" i="1" s="1"/>
  <c r="AS481" i="1"/>
  <c r="AS482" i="1" s="1"/>
  <c r="AR481" i="1"/>
  <c r="AQ481" i="1"/>
  <c r="AD481" i="1"/>
  <c r="Q481" i="1"/>
  <c r="BD480" i="1"/>
  <c r="AQ480" i="1"/>
  <c r="AD480" i="1"/>
  <c r="Q480" i="1"/>
  <c r="BD479" i="1"/>
  <c r="AQ479" i="1"/>
  <c r="AD479" i="1"/>
  <c r="Q479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Q475" i="1"/>
  <c r="Q474" i="1"/>
  <c r="Q473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BC469" i="1"/>
  <c r="BC470" i="1" s="1"/>
  <c r="BB469" i="1"/>
  <c r="BB470" i="1" s="1"/>
  <c r="BA469" i="1"/>
  <c r="BA470" i="1" s="1"/>
  <c r="AZ469" i="1"/>
  <c r="AZ470" i="1" s="1"/>
  <c r="AY469" i="1"/>
  <c r="AY470" i="1" s="1"/>
  <c r="AX469" i="1"/>
  <c r="AX470" i="1" s="1"/>
  <c r="AW469" i="1"/>
  <c r="AV469" i="1"/>
  <c r="AV470" i="1" s="1"/>
  <c r="AU469" i="1"/>
  <c r="AU470" i="1" s="1"/>
  <c r="AT469" i="1"/>
  <c r="AT470" i="1" s="1"/>
  <c r="AS469" i="1"/>
  <c r="AS470" i="1" s="1"/>
  <c r="AR469" i="1"/>
  <c r="AP469" i="1"/>
  <c r="AP470" i="1" s="1"/>
  <c r="AO469" i="1"/>
  <c r="AO470" i="1" s="1"/>
  <c r="AN469" i="1"/>
  <c r="AN470" i="1" s="1"/>
  <c r="AM469" i="1"/>
  <c r="AM470" i="1" s="1"/>
  <c r="AL469" i="1"/>
  <c r="AL470" i="1" s="1"/>
  <c r="AK469" i="1"/>
  <c r="AK470" i="1" s="1"/>
  <c r="AJ469" i="1"/>
  <c r="AJ470" i="1" s="1"/>
  <c r="AI469" i="1"/>
  <c r="AI470" i="1" s="1"/>
  <c r="AH469" i="1"/>
  <c r="AH470" i="1" s="1"/>
  <c r="AG469" i="1"/>
  <c r="AG470" i="1" s="1"/>
  <c r="AF469" i="1"/>
  <c r="AF470" i="1" s="1"/>
  <c r="AE469" i="1"/>
  <c r="AE470" i="1" s="1"/>
  <c r="AC469" i="1"/>
  <c r="AC470" i="1" s="1"/>
  <c r="AB469" i="1"/>
  <c r="AB470" i="1" s="1"/>
  <c r="AA469" i="1"/>
  <c r="AA470" i="1" s="1"/>
  <c r="Z469" i="1"/>
  <c r="Z470" i="1" s="1"/>
  <c r="Y469" i="1"/>
  <c r="Y470" i="1" s="1"/>
  <c r="X469" i="1"/>
  <c r="X470" i="1" s="1"/>
  <c r="W469" i="1"/>
  <c r="W470" i="1" s="1"/>
  <c r="V469" i="1"/>
  <c r="V470" i="1" s="1"/>
  <c r="U469" i="1"/>
  <c r="U470" i="1" s="1"/>
  <c r="T469" i="1"/>
  <c r="T470" i="1" s="1"/>
  <c r="S469" i="1"/>
  <c r="S470" i="1" s="1"/>
  <c r="R469" i="1"/>
  <c r="R470" i="1" s="1"/>
  <c r="Q469" i="1"/>
  <c r="BD468" i="1"/>
  <c r="AQ468" i="1"/>
  <c r="AD468" i="1"/>
  <c r="Q468" i="1"/>
  <c r="BD467" i="1"/>
  <c r="AQ467" i="1"/>
  <c r="AD467" i="1"/>
  <c r="Q467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Q463" i="1"/>
  <c r="Q462" i="1"/>
  <c r="Q461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BC457" i="1"/>
  <c r="BC458" i="1" s="1"/>
  <c r="BB457" i="1"/>
  <c r="BB458" i="1" s="1"/>
  <c r="BA457" i="1"/>
  <c r="BA458" i="1" s="1"/>
  <c r="AZ457" i="1"/>
  <c r="AZ458" i="1" s="1"/>
  <c r="AY457" i="1"/>
  <c r="AY458" i="1" s="1"/>
  <c r="AX457" i="1"/>
  <c r="AX458" i="1" s="1"/>
  <c r="AW457" i="1"/>
  <c r="AV457" i="1"/>
  <c r="AV458" i="1" s="1"/>
  <c r="AU457" i="1"/>
  <c r="AU458" i="1" s="1"/>
  <c r="AT457" i="1"/>
  <c r="AT458" i="1" s="1"/>
  <c r="AS457" i="1"/>
  <c r="AS458" i="1" s="1"/>
  <c r="AR457" i="1"/>
  <c r="AQ457" i="1"/>
  <c r="AD457" i="1"/>
  <c r="Q457" i="1"/>
  <c r="BD456" i="1"/>
  <c r="AQ456" i="1"/>
  <c r="AD456" i="1"/>
  <c r="Q456" i="1"/>
  <c r="BD455" i="1"/>
  <c r="AQ455" i="1"/>
  <c r="AD455" i="1"/>
  <c r="Q455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BC451" i="1"/>
  <c r="BC452" i="1" s="1"/>
  <c r="BB451" i="1"/>
  <c r="BB452" i="1" s="1"/>
  <c r="BA451" i="1"/>
  <c r="BA452" i="1" s="1"/>
  <c r="AZ451" i="1"/>
  <c r="AZ452" i="1" s="1"/>
  <c r="AY451" i="1"/>
  <c r="AY452" i="1" s="1"/>
  <c r="AX451" i="1"/>
  <c r="AX452" i="1" s="1"/>
  <c r="AW451" i="1"/>
  <c r="AV451" i="1"/>
  <c r="AV452" i="1" s="1"/>
  <c r="AU451" i="1"/>
  <c r="AU452" i="1" s="1"/>
  <c r="AT451" i="1"/>
  <c r="AT452" i="1" s="1"/>
  <c r="AS451" i="1"/>
  <c r="AS452" i="1" s="1"/>
  <c r="AR451" i="1"/>
  <c r="AQ451" i="1"/>
  <c r="AD451" i="1"/>
  <c r="Q451" i="1"/>
  <c r="BD450" i="1"/>
  <c r="AQ450" i="1"/>
  <c r="AD450" i="1"/>
  <c r="Q450" i="1"/>
  <c r="BD449" i="1"/>
  <c r="AQ449" i="1"/>
  <c r="AD449" i="1"/>
  <c r="Q449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BD445" i="1"/>
  <c r="AQ445" i="1"/>
  <c r="AD445" i="1"/>
  <c r="Q445" i="1"/>
  <c r="BD444" i="1"/>
  <c r="AQ444" i="1"/>
  <c r="AD444" i="1"/>
  <c r="Q444" i="1"/>
  <c r="BD443" i="1"/>
  <c r="AQ443" i="1"/>
  <c r="AD443" i="1"/>
  <c r="Q443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BD439" i="1"/>
  <c r="AQ439" i="1"/>
  <c r="AD439" i="1"/>
  <c r="Q439" i="1"/>
  <c r="BD438" i="1"/>
  <c r="AQ438" i="1"/>
  <c r="AD438" i="1"/>
  <c r="Q438" i="1"/>
  <c r="BD437" i="1"/>
  <c r="AQ437" i="1"/>
  <c r="AD437" i="1"/>
  <c r="Q437" i="1"/>
  <c r="BC434" i="1"/>
  <c r="BB434" i="1"/>
  <c r="BA434" i="1"/>
  <c r="AZ434" i="1"/>
  <c r="AY434" i="1"/>
  <c r="AX434" i="1"/>
  <c r="AW434" i="1"/>
  <c r="AV434" i="1"/>
  <c r="AU434" i="1"/>
  <c r="AT434" i="1"/>
  <c r="AS434" i="1"/>
  <c r="AR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BD433" i="1"/>
  <c r="AQ433" i="1"/>
  <c r="AD433" i="1"/>
  <c r="Q433" i="1"/>
  <c r="BD432" i="1"/>
  <c r="AQ432" i="1"/>
  <c r="AD432" i="1"/>
  <c r="Q432" i="1"/>
  <c r="BD431" i="1"/>
  <c r="AQ431" i="1"/>
  <c r="AD431" i="1"/>
  <c r="Q431" i="1"/>
  <c r="O428" i="1"/>
  <c r="N428" i="1"/>
  <c r="M428" i="1"/>
  <c r="L428" i="1"/>
  <c r="K428" i="1"/>
  <c r="J428" i="1"/>
  <c r="I428" i="1"/>
  <c r="H428" i="1"/>
  <c r="G428" i="1"/>
  <c r="F428" i="1"/>
  <c r="E428" i="1"/>
  <c r="BC427" i="1"/>
  <c r="BC428" i="1" s="1"/>
  <c r="BB427" i="1"/>
  <c r="BB428" i="1" s="1"/>
  <c r="BA427" i="1"/>
  <c r="BA428" i="1" s="1"/>
  <c r="AZ427" i="1"/>
  <c r="AZ428" i="1" s="1"/>
  <c r="AY427" i="1"/>
  <c r="AY428" i="1" s="1"/>
  <c r="AX427" i="1"/>
  <c r="AX428" i="1" s="1"/>
  <c r="AW427" i="1"/>
  <c r="AV427" i="1"/>
  <c r="AV428" i="1" s="1"/>
  <c r="AU427" i="1"/>
  <c r="AU428" i="1" s="1"/>
  <c r="AT427" i="1"/>
  <c r="AT428" i="1" s="1"/>
  <c r="AS427" i="1"/>
  <c r="AS428" i="1" s="1"/>
  <c r="AR427" i="1"/>
  <c r="AP427" i="1"/>
  <c r="AP428" i="1" s="1"/>
  <c r="AO427" i="1"/>
  <c r="AO428" i="1" s="1"/>
  <c r="AN427" i="1"/>
  <c r="AN428" i="1" s="1"/>
  <c r="AM427" i="1"/>
  <c r="AM428" i="1" s="1"/>
  <c r="AL427" i="1"/>
  <c r="AL428" i="1" s="1"/>
  <c r="AK427" i="1"/>
  <c r="AK428" i="1" s="1"/>
  <c r="AJ427" i="1"/>
  <c r="AJ428" i="1" s="1"/>
  <c r="AI427" i="1"/>
  <c r="AI428" i="1" s="1"/>
  <c r="AH427" i="1"/>
  <c r="AH428" i="1" s="1"/>
  <c r="AG427" i="1"/>
  <c r="AG428" i="1" s="1"/>
  <c r="AF427" i="1"/>
  <c r="AE427" i="1"/>
  <c r="AE428" i="1" s="1"/>
  <c r="AC427" i="1"/>
  <c r="AC428" i="1" s="1"/>
  <c r="AB427" i="1"/>
  <c r="AB428" i="1" s="1"/>
  <c r="AA427" i="1"/>
  <c r="AA428" i="1" s="1"/>
  <c r="Z427" i="1"/>
  <c r="Z428" i="1" s="1"/>
  <c r="Y427" i="1"/>
  <c r="Y428" i="1" s="1"/>
  <c r="X427" i="1"/>
  <c r="X428" i="1" s="1"/>
  <c r="W427" i="1"/>
  <c r="W428" i="1" s="1"/>
  <c r="V427" i="1"/>
  <c r="V428" i="1" s="1"/>
  <c r="U427" i="1"/>
  <c r="U428" i="1" s="1"/>
  <c r="T427" i="1"/>
  <c r="T428" i="1" s="1"/>
  <c r="S427" i="1"/>
  <c r="R427" i="1"/>
  <c r="R428" i="1" s="1"/>
  <c r="P427" i="1"/>
  <c r="BD426" i="1"/>
  <c r="AQ426" i="1"/>
  <c r="AD426" i="1"/>
  <c r="Q426" i="1"/>
  <c r="BD425" i="1"/>
  <c r="AQ425" i="1"/>
  <c r="AD425" i="1"/>
  <c r="Q425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BC421" i="1"/>
  <c r="BC422" i="1" s="1"/>
  <c r="BB421" i="1"/>
  <c r="BB422" i="1" s="1"/>
  <c r="BA421" i="1"/>
  <c r="BA422" i="1" s="1"/>
  <c r="AZ421" i="1"/>
  <c r="AZ422" i="1" s="1"/>
  <c r="AY421" i="1"/>
  <c r="AY422" i="1" s="1"/>
  <c r="AX421" i="1"/>
  <c r="AX422" i="1" s="1"/>
  <c r="AW421" i="1"/>
  <c r="AV421" i="1"/>
  <c r="AV422" i="1" s="1"/>
  <c r="AU421" i="1"/>
  <c r="AU422" i="1" s="1"/>
  <c r="AT421" i="1"/>
  <c r="AT422" i="1" s="1"/>
  <c r="AS421" i="1"/>
  <c r="AS422" i="1" s="1"/>
  <c r="AR421" i="1"/>
  <c r="AQ421" i="1"/>
  <c r="AD421" i="1"/>
  <c r="Q421" i="1"/>
  <c r="BD420" i="1"/>
  <c r="AQ420" i="1"/>
  <c r="AD420" i="1"/>
  <c r="Q420" i="1"/>
  <c r="BD419" i="1"/>
  <c r="AQ419" i="1"/>
  <c r="AD419" i="1"/>
  <c r="Q419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BC415" i="1"/>
  <c r="BC416" i="1" s="1"/>
  <c r="BB415" i="1"/>
  <c r="BB416" i="1" s="1"/>
  <c r="BA415" i="1"/>
  <c r="BA416" i="1" s="1"/>
  <c r="AZ415" i="1"/>
  <c r="AZ416" i="1" s="1"/>
  <c r="AY415" i="1"/>
  <c r="AY416" i="1" s="1"/>
  <c r="AX415" i="1"/>
  <c r="AX416" i="1" s="1"/>
  <c r="AW415" i="1"/>
  <c r="AV415" i="1"/>
  <c r="AV416" i="1" s="1"/>
  <c r="AU415" i="1"/>
  <c r="AU416" i="1" s="1"/>
  <c r="AT415" i="1"/>
  <c r="AT416" i="1" s="1"/>
  <c r="AS415" i="1"/>
  <c r="AS416" i="1" s="1"/>
  <c r="AR415" i="1"/>
  <c r="AQ415" i="1"/>
  <c r="AD415" i="1"/>
  <c r="Q415" i="1"/>
  <c r="BD414" i="1"/>
  <c r="AQ414" i="1"/>
  <c r="AD414" i="1"/>
  <c r="Q414" i="1"/>
  <c r="AQ413" i="1"/>
  <c r="AD413" i="1"/>
  <c r="Q413" i="1"/>
  <c r="P410" i="1"/>
  <c r="O409" i="1"/>
  <c r="O410" i="1" s="1"/>
  <c r="N409" i="1"/>
  <c r="N410" i="1" s="1"/>
  <c r="M409" i="1"/>
  <c r="M410" i="1" s="1"/>
  <c r="L409" i="1"/>
  <c r="L410" i="1" s="1"/>
  <c r="K409" i="1"/>
  <c r="K410" i="1" s="1"/>
  <c r="J409" i="1"/>
  <c r="J410" i="1" s="1"/>
  <c r="I409" i="1"/>
  <c r="I410" i="1" s="1"/>
  <c r="H409" i="1"/>
  <c r="H410" i="1" s="1"/>
  <c r="G409" i="1"/>
  <c r="G410" i="1" s="1"/>
  <c r="F409" i="1"/>
  <c r="F410" i="1" s="1"/>
  <c r="E409" i="1"/>
  <c r="Q408" i="1"/>
  <c r="Q407" i="1"/>
  <c r="P404" i="1"/>
  <c r="O403" i="1"/>
  <c r="O404" i="1" s="1"/>
  <c r="N403" i="1"/>
  <c r="N404" i="1" s="1"/>
  <c r="M403" i="1"/>
  <c r="M404" i="1" s="1"/>
  <c r="L403" i="1"/>
  <c r="L404" i="1" s="1"/>
  <c r="K403" i="1"/>
  <c r="K404" i="1" s="1"/>
  <c r="J403" i="1"/>
  <c r="J404" i="1" s="1"/>
  <c r="I403" i="1"/>
  <c r="I404" i="1" s="1"/>
  <c r="H403" i="1"/>
  <c r="H404" i="1" s="1"/>
  <c r="G403" i="1"/>
  <c r="G404" i="1" s="1"/>
  <c r="F403" i="1"/>
  <c r="F404" i="1" s="1"/>
  <c r="E403" i="1"/>
  <c r="E404" i="1" s="1"/>
  <c r="Q402" i="1"/>
  <c r="Q401" i="1"/>
  <c r="P398" i="1"/>
  <c r="O397" i="1"/>
  <c r="O398" i="1" s="1"/>
  <c r="N397" i="1"/>
  <c r="N398" i="1" s="1"/>
  <c r="M397" i="1"/>
  <c r="M398" i="1" s="1"/>
  <c r="L397" i="1"/>
  <c r="L398" i="1" s="1"/>
  <c r="K397" i="1"/>
  <c r="K398" i="1" s="1"/>
  <c r="J397" i="1"/>
  <c r="J398" i="1" s="1"/>
  <c r="I397" i="1"/>
  <c r="I398" i="1" s="1"/>
  <c r="H397" i="1"/>
  <c r="H398" i="1" s="1"/>
  <c r="G397" i="1"/>
  <c r="G398" i="1" s="1"/>
  <c r="F397" i="1"/>
  <c r="F398" i="1" s="1"/>
  <c r="E397" i="1"/>
  <c r="E398" i="1" s="1"/>
  <c r="Q396" i="1"/>
  <c r="Q395" i="1"/>
  <c r="P392" i="1"/>
  <c r="O391" i="1"/>
  <c r="O392" i="1" s="1"/>
  <c r="N391" i="1"/>
  <c r="N392" i="1" s="1"/>
  <c r="M391" i="1"/>
  <c r="M392" i="1" s="1"/>
  <c r="L391" i="1"/>
  <c r="L392" i="1" s="1"/>
  <c r="K391" i="1"/>
  <c r="K392" i="1" s="1"/>
  <c r="J391" i="1"/>
  <c r="J392" i="1" s="1"/>
  <c r="I391" i="1"/>
  <c r="I392" i="1" s="1"/>
  <c r="H391" i="1"/>
  <c r="H392" i="1" s="1"/>
  <c r="G391" i="1"/>
  <c r="G392" i="1" s="1"/>
  <c r="F391" i="1"/>
  <c r="F392" i="1" s="1"/>
  <c r="E391" i="1"/>
  <c r="Q390" i="1"/>
  <c r="Q389" i="1"/>
  <c r="P386" i="1"/>
  <c r="O385" i="1"/>
  <c r="O386" i="1" s="1"/>
  <c r="N385" i="1"/>
  <c r="N386" i="1" s="1"/>
  <c r="M385" i="1"/>
  <c r="M386" i="1" s="1"/>
  <c r="L385" i="1"/>
  <c r="L386" i="1" s="1"/>
  <c r="K385" i="1"/>
  <c r="K386" i="1" s="1"/>
  <c r="J385" i="1"/>
  <c r="J386" i="1" s="1"/>
  <c r="I385" i="1"/>
  <c r="I386" i="1" s="1"/>
  <c r="H385" i="1"/>
  <c r="H386" i="1" s="1"/>
  <c r="G385" i="1"/>
  <c r="G386" i="1" s="1"/>
  <c r="F385" i="1"/>
  <c r="F386" i="1" s="1"/>
  <c r="E385" i="1"/>
  <c r="Q384" i="1"/>
  <c r="Q383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BD379" i="1"/>
  <c r="AQ379" i="1"/>
  <c r="AD379" i="1"/>
  <c r="Q379" i="1"/>
  <c r="BD378" i="1"/>
  <c r="AQ378" i="1"/>
  <c r="AD378" i="1"/>
  <c r="Q378" i="1"/>
  <c r="BD377" i="1"/>
  <c r="AQ377" i="1"/>
  <c r="AD377" i="1"/>
  <c r="Q377" i="1"/>
  <c r="BC374" i="1"/>
  <c r="AZ374" i="1"/>
  <c r="AX374" i="1"/>
  <c r="AU374" i="1"/>
  <c r="BB374" i="1"/>
  <c r="BA374" i="1"/>
  <c r="AY374" i="1"/>
  <c r="AW374" i="1"/>
  <c r="AV374" i="1"/>
  <c r="AT374" i="1"/>
  <c r="AS374" i="1"/>
  <c r="AR373" i="1"/>
  <c r="AP373" i="1"/>
  <c r="AP374" i="1" s="1"/>
  <c r="AO373" i="1"/>
  <c r="AO374" i="1" s="1"/>
  <c r="AN373" i="1"/>
  <c r="AN374" i="1" s="1"/>
  <c r="AM373" i="1"/>
  <c r="AM374" i="1" s="1"/>
  <c r="AL373" i="1"/>
  <c r="AL374" i="1" s="1"/>
  <c r="AK373" i="1"/>
  <c r="AK374" i="1" s="1"/>
  <c r="AJ373" i="1"/>
  <c r="AJ374" i="1" s="1"/>
  <c r="AI373" i="1"/>
  <c r="AI374" i="1" s="1"/>
  <c r="AH373" i="1"/>
  <c r="AH374" i="1" s="1"/>
  <c r="AG373" i="1"/>
  <c r="AG374" i="1" s="1"/>
  <c r="AF373" i="1"/>
  <c r="AE373" i="1"/>
  <c r="AE374" i="1" s="1"/>
  <c r="AC373" i="1"/>
  <c r="AC374" i="1" s="1"/>
  <c r="AB373" i="1"/>
  <c r="AB374" i="1" s="1"/>
  <c r="AA373" i="1"/>
  <c r="AA374" i="1" s="1"/>
  <c r="Z373" i="1"/>
  <c r="Z374" i="1" s="1"/>
  <c r="Y373" i="1"/>
  <c r="Y374" i="1" s="1"/>
  <c r="X373" i="1"/>
  <c r="X374" i="1" s="1"/>
  <c r="W373" i="1"/>
  <c r="W374" i="1" s="1"/>
  <c r="V373" i="1"/>
  <c r="V374" i="1" s="1"/>
  <c r="U373" i="1"/>
  <c r="U374" i="1" s="1"/>
  <c r="T373" i="1"/>
  <c r="T374" i="1" s="1"/>
  <c r="S373" i="1"/>
  <c r="R373" i="1"/>
  <c r="R374" i="1" s="1"/>
  <c r="P373" i="1"/>
  <c r="P374" i="1" s="1"/>
  <c r="O373" i="1"/>
  <c r="O374" i="1" s="1"/>
  <c r="N373" i="1"/>
  <c r="N374" i="1" s="1"/>
  <c r="M373" i="1"/>
  <c r="M374" i="1" s="1"/>
  <c r="L373" i="1"/>
  <c r="L374" i="1" s="1"/>
  <c r="K373" i="1"/>
  <c r="K374" i="1" s="1"/>
  <c r="J373" i="1"/>
  <c r="J374" i="1" s="1"/>
  <c r="I373" i="1"/>
  <c r="I374" i="1" s="1"/>
  <c r="H373" i="1"/>
  <c r="H374" i="1" s="1"/>
  <c r="G373" i="1"/>
  <c r="G374" i="1" s="1"/>
  <c r="F373" i="1"/>
  <c r="F374" i="1" s="1"/>
  <c r="E373" i="1"/>
  <c r="E374" i="1" s="1"/>
  <c r="BD372" i="1"/>
  <c r="AQ372" i="1"/>
  <c r="AD372" i="1"/>
  <c r="Q372" i="1"/>
  <c r="BD371" i="1"/>
  <c r="AQ371" i="1"/>
  <c r="AD371" i="1"/>
  <c r="Q371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BD367" i="1"/>
  <c r="AQ367" i="1"/>
  <c r="AD367" i="1"/>
  <c r="Q367" i="1"/>
  <c r="BD366" i="1"/>
  <c r="AQ366" i="1"/>
  <c r="AD366" i="1"/>
  <c r="Q366" i="1"/>
  <c r="BD365" i="1"/>
  <c r="AQ365" i="1"/>
  <c r="AD365" i="1"/>
  <c r="Q365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AD361" i="1"/>
  <c r="Q361" i="1"/>
  <c r="AD360" i="1"/>
  <c r="Q360" i="1"/>
  <c r="AD359" i="1"/>
  <c r="Q359" i="1"/>
  <c r="BC355" i="1"/>
  <c r="BC356" i="1" s="1"/>
  <c r="BB355" i="1"/>
  <c r="BB356" i="1" s="1"/>
  <c r="BA355" i="1"/>
  <c r="BA356" i="1" s="1"/>
  <c r="AZ355" i="1"/>
  <c r="AZ356" i="1" s="1"/>
  <c r="AY355" i="1"/>
  <c r="AY356" i="1" s="1"/>
  <c r="AX355" i="1"/>
  <c r="AX356" i="1" s="1"/>
  <c r="AW355" i="1"/>
  <c r="AV355" i="1"/>
  <c r="AV356" i="1" s="1"/>
  <c r="AU355" i="1"/>
  <c r="AU356" i="1" s="1"/>
  <c r="AT355" i="1"/>
  <c r="AT356" i="1" s="1"/>
  <c r="AS355" i="1"/>
  <c r="AS356" i="1" s="1"/>
  <c r="AR355" i="1"/>
  <c r="AP355" i="1"/>
  <c r="AP356" i="1" s="1"/>
  <c r="AO355" i="1"/>
  <c r="AO356" i="1" s="1"/>
  <c r="AN355" i="1"/>
  <c r="AN356" i="1" s="1"/>
  <c r="AM355" i="1"/>
  <c r="AM356" i="1" s="1"/>
  <c r="AL355" i="1"/>
  <c r="AL356" i="1" s="1"/>
  <c r="AK355" i="1"/>
  <c r="AK356" i="1" s="1"/>
  <c r="AJ355" i="1"/>
  <c r="AJ356" i="1" s="1"/>
  <c r="AI355" i="1"/>
  <c r="AI356" i="1" s="1"/>
  <c r="AH355" i="1"/>
  <c r="AH356" i="1" s="1"/>
  <c r="AG355" i="1"/>
  <c r="AG356" i="1" s="1"/>
  <c r="AF355" i="1"/>
  <c r="AF356" i="1" s="1"/>
  <c r="AE355" i="1"/>
  <c r="AE356" i="1" s="1"/>
  <c r="AC355" i="1"/>
  <c r="AC356" i="1" s="1"/>
  <c r="AB355" i="1"/>
  <c r="AB356" i="1" s="1"/>
  <c r="AA355" i="1"/>
  <c r="AA356" i="1" s="1"/>
  <c r="Z355" i="1"/>
  <c r="Z356" i="1" s="1"/>
  <c r="Y355" i="1"/>
  <c r="Y356" i="1" s="1"/>
  <c r="X355" i="1"/>
  <c r="X356" i="1" s="1"/>
  <c r="W355" i="1"/>
  <c r="W356" i="1" s="1"/>
  <c r="V355" i="1"/>
  <c r="V356" i="1" s="1"/>
  <c r="U355" i="1"/>
  <c r="U356" i="1" s="1"/>
  <c r="T355" i="1"/>
  <c r="T356" i="1" s="1"/>
  <c r="S355" i="1"/>
  <c r="S356" i="1" s="1"/>
  <c r="R355" i="1"/>
  <c r="P355" i="1"/>
  <c r="P356" i="1" s="1"/>
  <c r="O355" i="1"/>
  <c r="O356" i="1" s="1"/>
  <c r="N355" i="1"/>
  <c r="N356" i="1" s="1"/>
  <c r="M355" i="1"/>
  <c r="M356" i="1" s="1"/>
  <c r="L355" i="1"/>
  <c r="L356" i="1" s="1"/>
  <c r="K355" i="1"/>
  <c r="K356" i="1" s="1"/>
  <c r="J355" i="1"/>
  <c r="J356" i="1" s="1"/>
  <c r="I355" i="1"/>
  <c r="I356" i="1" s="1"/>
  <c r="H355" i="1"/>
  <c r="H356" i="1" s="1"/>
  <c r="G355" i="1"/>
  <c r="G356" i="1" s="1"/>
  <c r="F355" i="1"/>
  <c r="F356" i="1" s="1"/>
  <c r="E355" i="1"/>
  <c r="BD354" i="1"/>
  <c r="AQ354" i="1"/>
  <c r="AD354" i="1"/>
  <c r="Q354" i="1"/>
  <c r="BD353" i="1"/>
  <c r="AQ353" i="1"/>
  <c r="AD353" i="1"/>
  <c r="Q353" i="1"/>
  <c r="P350" i="1"/>
  <c r="O350" i="1"/>
  <c r="N350" i="1"/>
  <c r="M350" i="1"/>
  <c r="L350" i="1"/>
  <c r="K350" i="1"/>
  <c r="J349" i="1"/>
  <c r="J350" i="1" s="1"/>
  <c r="I349" i="1"/>
  <c r="I350" i="1" s="1"/>
  <c r="H349" i="1"/>
  <c r="H350" i="1" s="1"/>
  <c r="G349" i="1"/>
  <c r="G350" i="1" s="1"/>
  <c r="F349" i="1"/>
  <c r="F350" i="1" s="1"/>
  <c r="E349" i="1"/>
  <c r="Q348" i="1"/>
  <c r="Q347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Q343" i="1"/>
  <c r="Q342" i="1"/>
  <c r="Q341" i="1"/>
  <c r="P338" i="1"/>
  <c r="O338" i="1"/>
  <c r="N338" i="1"/>
  <c r="M338" i="1"/>
  <c r="L337" i="1"/>
  <c r="L338" i="1" s="1"/>
  <c r="K337" i="1"/>
  <c r="K338" i="1" s="1"/>
  <c r="J337" i="1"/>
  <c r="J338" i="1" s="1"/>
  <c r="I337" i="1"/>
  <c r="I338" i="1" s="1"/>
  <c r="H337" i="1"/>
  <c r="H338" i="1" s="1"/>
  <c r="G337" i="1"/>
  <c r="G338" i="1" s="1"/>
  <c r="F337" i="1"/>
  <c r="F338" i="1" s="1"/>
  <c r="E337" i="1"/>
  <c r="E338" i="1" s="1"/>
  <c r="Q336" i="1"/>
  <c r="Q335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BC331" i="1"/>
  <c r="BC332" i="1" s="1"/>
  <c r="BB331" i="1"/>
  <c r="BB332" i="1" s="1"/>
  <c r="BA331" i="1"/>
  <c r="BA332" i="1" s="1"/>
  <c r="AZ331" i="1"/>
  <c r="AZ332" i="1" s="1"/>
  <c r="AY331" i="1"/>
  <c r="AY332" i="1" s="1"/>
  <c r="AX331" i="1"/>
  <c r="AX332" i="1" s="1"/>
  <c r="AW331" i="1"/>
  <c r="AV331" i="1"/>
  <c r="AV332" i="1" s="1"/>
  <c r="AU331" i="1"/>
  <c r="AU332" i="1" s="1"/>
  <c r="AT331" i="1"/>
  <c r="AT332" i="1" s="1"/>
  <c r="AS331" i="1"/>
  <c r="AS332" i="1" s="1"/>
  <c r="AR331" i="1"/>
  <c r="AQ331" i="1"/>
  <c r="AD331" i="1"/>
  <c r="Q331" i="1"/>
  <c r="BD330" i="1"/>
  <c r="AQ330" i="1"/>
  <c r="AD330" i="1"/>
  <c r="Q330" i="1"/>
  <c r="BD329" i="1"/>
  <c r="AQ329" i="1"/>
  <c r="AD329" i="1"/>
  <c r="Q329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BC325" i="1"/>
  <c r="BC326" i="1" s="1"/>
  <c r="BB325" i="1"/>
  <c r="BB326" i="1" s="1"/>
  <c r="BA325" i="1"/>
  <c r="BA326" i="1" s="1"/>
  <c r="AZ325" i="1"/>
  <c r="AZ326" i="1" s="1"/>
  <c r="AY325" i="1"/>
  <c r="AY326" i="1" s="1"/>
  <c r="AX325" i="1"/>
  <c r="AX326" i="1" s="1"/>
  <c r="AW325" i="1"/>
  <c r="AV325" i="1"/>
  <c r="AU325" i="1"/>
  <c r="AU326" i="1" s="1"/>
  <c r="AT325" i="1"/>
  <c r="AT326" i="1" s="1"/>
  <c r="AS325" i="1"/>
  <c r="AS326" i="1" s="1"/>
  <c r="AR325" i="1"/>
  <c r="AP325" i="1"/>
  <c r="AP326" i="1" s="1"/>
  <c r="AO325" i="1"/>
  <c r="AO326" i="1" s="1"/>
  <c r="AN325" i="1"/>
  <c r="AN326" i="1" s="1"/>
  <c r="AM325" i="1"/>
  <c r="AM326" i="1" s="1"/>
  <c r="AL325" i="1"/>
  <c r="AL326" i="1" s="1"/>
  <c r="AK325" i="1"/>
  <c r="AK326" i="1" s="1"/>
  <c r="AJ325" i="1"/>
  <c r="AJ326" i="1" s="1"/>
  <c r="AI325" i="1"/>
  <c r="AI326" i="1" s="1"/>
  <c r="AH325" i="1"/>
  <c r="AH326" i="1" s="1"/>
  <c r="AG325" i="1"/>
  <c r="AG326" i="1" s="1"/>
  <c r="AF325" i="1"/>
  <c r="AF326" i="1" s="1"/>
  <c r="AE325" i="1"/>
  <c r="AE326" i="1" s="1"/>
  <c r="AC325" i="1"/>
  <c r="AC326" i="1" s="1"/>
  <c r="AB325" i="1"/>
  <c r="AB326" i="1" s="1"/>
  <c r="AA325" i="1"/>
  <c r="AA326" i="1" s="1"/>
  <c r="Z325" i="1"/>
  <c r="Z326" i="1" s="1"/>
  <c r="Y325" i="1"/>
  <c r="Y326" i="1" s="1"/>
  <c r="X325" i="1"/>
  <c r="X326" i="1" s="1"/>
  <c r="W325" i="1"/>
  <c r="W326" i="1" s="1"/>
  <c r="V325" i="1"/>
  <c r="V326" i="1" s="1"/>
  <c r="U325" i="1"/>
  <c r="U326" i="1" s="1"/>
  <c r="T325" i="1"/>
  <c r="T326" i="1" s="1"/>
  <c r="S325" i="1"/>
  <c r="S326" i="1" s="1"/>
  <c r="R325" i="1"/>
  <c r="R326" i="1" s="1"/>
  <c r="Q325" i="1"/>
  <c r="BD324" i="1"/>
  <c r="AQ324" i="1"/>
  <c r="AD324" i="1"/>
  <c r="Q324" i="1"/>
  <c r="BD323" i="1"/>
  <c r="AQ323" i="1"/>
  <c r="AD323" i="1"/>
  <c r="Q323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AD319" i="1"/>
  <c r="Q319" i="1"/>
  <c r="AD318" i="1"/>
  <c r="Q318" i="1"/>
  <c r="AD317" i="1"/>
  <c r="Q317" i="1"/>
  <c r="BC313" i="1"/>
  <c r="BC314" i="1" s="1"/>
  <c r="BB313" i="1"/>
  <c r="BB314" i="1" s="1"/>
  <c r="BA313" i="1"/>
  <c r="BA314" i="1" s="1"/>
  <c r="AZ313" i="1"/>
  <c r="AZ314" i="1" s="1"/>
  <c r="AY313" i="1"/>
  <c r="AY314" i="1" s="1"/>
  <c r="AX313" i="1"/>
  <c r="AX314" i="1" s="1"/>
  <c r="AW313" i="1"/>
  <c r="AV313" i="1"/>
  <c r="AV314" i="1" s="1"/>
  <c r="AU313" i="1"/>
  <c r="AU314" i="1" s="1"/>
  <c r="AT313" i="1"/>
  <c r="AT314" i="1" s="1"/>
  <c r="AS313" i="1"/>
  <c r="AS314" i="1" s="1"/>
  <c r="AR313" i="1"/>
  <c r="AP313" i="1"/>
  <c r="AP314" i="1" s="1"/>
  <c r="AO313" i="1"/>
  <c r="AO314" i="1" s="1"/>
  <c r="AN313" i="1"/>
  <c r="AN314" i="1" s="1"/>
  <c r="AM313" i="1"/>
  <c r="AM314" i="1" s="1"/>
  <c r="AL313" i="1"/>
  <c r="AL314" i="1" s="1"/>
  <c r="AK313" i="1"/>
  <c r="AK314" i="1" s="1"/>
  <c r="AJ313" i="1"/>
  <c r="AJ314" i="1" s="1"/>
  <c r="AI313" i="1"/>
  <c r="AI314" i="1" s="1"/>
  <c r="AH313" i="1"/>
  <c r="AH314" i="1" s="1"/>
  <c r="AG313" i="1"/>
  <c r="AF313" i="1"/>
  <c r="AF314" i="1" s="1"/>
  <c r="AE313" i="1"/>
  <c r="AE314" i="1" s="1"/>
  <c r="AC313" i="1"/>
  <c r="AC314" i="1" s="1"/>
  <c r="AB313" i="1"/>
  <c r="AB314" i="1" s="1"/>
  <c r="AA313" i="1"/>
  <c r="AA314" i="1" s="1"/>
  <c r="Z313" i="1"/>
  <c r="Z314" i="1" s="1"/>
  <c r="Y313" i="1"/>
  <c r="Y314" i="1" s="1"/>
  <c r="X313" i="1"/>
  <c r="X314" i="1" s="1"/>
  <c r="W313" i="1"/>
  <c r="W314" i="1" s="1"/>
  <c r="V313" i="1"/>
  <c r="V314" i="1" s="1"/>
  <c r="U313" i="1"/>
  <c r="U314" i="1" s="1"/>
  <c r="T313" i="1"/>
  <c r="T314" i="1" s="1"/>
  <c r="S313" i="1"/>
  <c r="S314" i="1" s="1"/>
  <c r="R313" i="1"/>
  <c r="R314" i="1" s="1"/>
  <c r="P313" i="1"/>
  <c r="P314" i="1" s="1"/>
  <c r="O313" i="1"/>
  <c r="O314" i="1" s="1"/>
  <c r="N313" i="1"/>
  <c r="N314" i="1" s="1"/>
  <c r="M313" i="1"/>
  <c r="M314" i="1" s="1"/>
  <c r="L313" i="1"/>
  <c r="L314" i="1" s="1"/>
  <c r="K313" i="1"/>
  <c r="K314" i="1" s="1"/>
  <c r="J313" i="1"/>
  <c r="J314" i="1" s="1"/>
  <c r="I313" i="1"/>
  <c r="I314" i="1" s="1"/>
  <c r="H313" i="1"/>
  <c r="H314" i="1" s="1"/>
  <c r="G313" i="1"/>
  <c r="G314" i="1" s="1"/>
  <c r="F313" i="1"/>
  <c r="F314" i="1" s="1"/>
  <c r="E313" i="1"/>
  <c r="E314" i="1" s="1"/>
  <c r="BD312" i="1"/>
  <c r="AQ312" i="1"/>
  <c r="AD312" i="1"/>
  <c r="Q312" i="1"/>
  <c r="BD311" i="1"/>
  <c r="AQ311" i="1"/>
  <c r="AD311" i="1"/>
  <c r="Q311" i="1"/>
  <c r="AX308" i="1"/>
  <c r="AW308" i="1"/>
  <c r="AV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BC308" i="1"/>
  <c r="BB308" i="1"/>
  <c r="BA308" i="1"/>
  <c r="AZ308" i="1"/>
  <c r="AY308" i="1"/>
  <c r="AU308" i="1"/>
  <c r="AT308" i="1"/>
  <c r="AS308" i="1"/>
  <c r="AR308" i="1"/>
  <c r="AQ307" i="1"/>
  <c r="AD307" i="1"/>
  <c r="Q307" i="1"/>
  <c r="BD306" i="1"/>
  <c r="AQ306" i="1"/>
  <c r="AD306" i="1"/>
  <c r="Q306" i="1"/>
  <c r="BD305" i="1"/>
  <c r="AQ305" i="1"/>
  <c r="AD305" i="1"/>
  <c r="Q305" i="1"/>
  <c r="P301" i="1"/>
  <c r="P302" i="1" s="1"/>
  <c r="O301" i="1"/>
  <c r="O302" i="1" s="1"/>
  <c r="N301" i="1"/>
  <c r="N302" i="1" s="1"/>
  <c r="M301" i="1"/>
  <c r="M302" i="1" s="1"/>
  <c r="L301" i="1"/>
  <c r="L302" i="1" s="1"/>
  <c r="K301" i="1"/>
  <c r="K302" i="1" s="1"/>
  <c r="J301" i="1"/>
  <c r="J302" i="1" s="1"/>
  <c r="I301" i="1"/>
  <c r="I302" i="1" s="1"/>
  <c r="H301" i="1"/>
  <c r="H302" i="1" s="1"/>
  <c r="G301" i="1"/>
  <c r="G302" i="1" s="1"/>
  <c r="F301" i="1"/>
  <c r="F302" i="1" s="1"/>
  <c r="E301" i="1"/>
  <c r="Q300" i="1"/>
  <c r="Q299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AD295" i="1"/>
  <c r="Q295" i="1"/>
  <c r="AD294" i="1"/>
  <c r="Q294" i="1"/>
  <c r="AD293" i="1"/>
  <c r="Q293" i="1"/>
  <c r="BC289" i="1"/>
  <c r="BC290" i="1" s="1"/>
  <c r="BB289" i="1"/>
  <c r="BB290" i="1" s="1"/>
  <c r="BA289" i="1"/>
  <c r="BA290" i="1" s="1"/>
  <c r="AZ289" i="1"/>
  <c r="AZ290" i="1" s="1"/>
  <c r="AY289" i="1"/>
  <c r="AY290" i="1" s="1"/>
  <c r="AX289" i="1"/>
  <c r="AX290" i="1" s="1"/>
  <c r="AW289" i="1"/>
  <c r="AV289" i="1"/>
  <c r="AV290" i="1" s="1"/>
  <c r="AU289" i="1"/>
  <c r="AU290" i="1" s="1"/>
  <c r="AT289" i="1"/>
  <c r="AT290" i="1" s="1"/>
  <c r="AS289" i="1"/>
  <c r="AS290" i="1" s="1"/>
  <c r="AR289" i="1"/>
  <c r="AP289" i="1"/>
  <c r="AP290" i="1" s="1"/>
  <c r="AO289" i="1"/>
  <c r="AO290" i="1" s="1"/>
  <c r="AN289" i="1"/>
  <c r="AN290" i="1" s="1"/>
  <c r="AM289" i="1"/>
  <c r="AM290" i="1" s="1"/>
  <c r="AL289" i="1"/>
  <c r="AL290" i="1" s="1"/>
  <c r="AK289" i="1"/>
  <c r="AK290" i="1" s="1"/>
  <c r="AJ289" i="1"/>
  <c r="AJ290" i="1" s="1"/>
  <c r="AI289" i="1"/>
  <c r="AI290" i="1" s="1"/>
  <c r="AH289" i="1"/>
  <c r="AH290" i="1" s="1"/>
  <c r="AG289" i="1"/>
  <c r="AG290" i="1" s="1"/>
  <c r="AF289" i="1"/>
  <c r="AF290" i="1" s="1"/>
  <c r="AE289" i="1"/>
  <c r="AC289" i="1"/>
  <c r="AC290" i="1" s="1"/>
  <c r="AB289" i="1"/>
  <c r="AB290" i="1" s="1"/>
  <c r="AA289" i="1"/>
  <c r="AA290" i="1" s="1"/>
  <c r="Z289" i="1"/>
  <c r="Z290" i="1" s="1"/>
  <c r="Y289" i="1"/>
  <c r="Y290" i="1" s="1"/>
  <c r="X289" i="1"/>
  <c r="X290" i="1" s="1"/>
  <c r="W289" i="1"/>
  <c r="W290" i="1" s="1"/>
  <c r="V289" i="1"/>
  <c r="V290" i="1" s="1"/>
  <c r="U289" i="1"/>
  <c r="U290" i="1" s="1"/>
  <c r="T289" i="1"/>
  <c r="T290" i="1" s="1"/>
  <c r="S289" i="1"/>
  <c r="S290" i="1" s="1"/>
  <c r="R289" i="1"/>
  <c r="R290" i="1" s="1"/>
  <c r="P289" i="1"/>
  <c r="P290" i="1" s="1"/>
  <c r="O289" i="1"/>
  <c r="O290" i="1" s="1"/>
  <c r="N289" i="1"/>
  <c r="N290" i="1" s="1"/>
  <c r="M289" i="1"/>
  <c r="M290" i="1" s="1"/>
  <c r="L289" i="1"/>
  <c r="L290" i="1" s="1"/>
  <c r="K289" i="1"/>
  <c r="K290" i="1" s="1"/>
  <c r="J289" i="1"/>
  <c r="J290" i="1" s="1"/>
  <c r="I289" i="1"/>
  <c r="I290" i="1" s="1"/>
  <c r="H289" i="1"/>
  <c r="H290" i="1" s="1"/>
  <c r="G289" i="1"/>
  <c r="G290" i="1" s="1"/>
  <c r="F289" i="1"/>
  <c r="F290" i="1" s="1"/>
  <c r="E289" i="1"/>
  <c r="E290" i="1" s="1"/>
  <c r="BD288" i="1"/>
  <c r="AQ288" i="1"/>
  <c r="AD288" i="1"/>
  <c r="Q288" i="1"/>
  <c r="BD287" i="1"/>
  <c r="AQ287" i="1"/>
  <c r="AD287" i="1"/>
  <c r="Q287" i="1"/>
  <c r="BC283" i="1"/>
  <c r="BC284" i="1" s="1"/>
  <c r="BB283" i="1"/>
  <c r="BB284" i="1" s="1"/>
  <c r="BA283" i="1"/>
  <c r="BA284" i="1" s="1"/>
  <c r="AZ283" i="1"/>
  <c r="AZ284" i="1" s="1"/>
  <c r="AY283" i="1"/>
  <c r="AY284" i="1" s="1"/>
  <c r="AX283" i="1"/>
  <c r="AX284" i="1" s="1"/>
  <c r="AW283" i="1"/>
  <c r="AV283" i="1"/>
  <c r="AV284" i="1" s="1"/>
  <c r="AU283" i="1"/>
  <c r="AU284" i="1" s="1"/>
  <c r="AT283" i="1"/>
  <c r="AT284" i="1" s="1"/>
  <c r="AS283" i="1"/>
  <c r="AS284" i="1" s="1"/>
  <c r="AR283" i="1"/>
  <c r="AP283" i="1"/>
  <c r="AP284" i="1" s="1"/>
  <c r="AO283" i="1"/>
  <c r="AO284" i="1" s="1"/>
  <c r="AN283" i="1"/>
  <c r="AN284" i="1" s="1"/>
  <c r="AM283" i="1"/>
  <c r="AM284" i="1" s="1"/>
  <c r="AL283" i="1"/>
  <c r="AL284" i="1" s="1"/>
  <c r="AK283" i="1"/>
  <c r="AK284" i="1" s="1"/>
  <c r="AJ283" i="1"/>
  <c r="AJ284" i="1" s="1"/>
  <c r="AI283" i="1"/>
  <c r="AI284" i="1" s="1"/>
  <c r="AH283" i="1"/>
  <c r="AH284" i="1" s="1"/>
  <c r="AG283" i="1"/>
  <c r="AG284" i="1" s="1"/>
  <c r="AF283" i="1"/>
  <c r="AF284" i="1" s="1"/>
  <c r="AE283" i="1"/>
  <c r="AE284" i="1" s="1"/>
  <c r="AC283" i="1"/>
  <c r="AC284" i="1" s="1"/>
  <c r="AB283" i="1"/>
  <c r="AB284" i="1" s="1"/>
  <c r="AA283" i="1"/>
  <c r="AA284" i="1" s="1"/>
  <c r="Z283" i="1"/>
  <c r="Z284" i="1" s="1"/>
  <c r="Y283" i="1"/>
  <c r="Y284" i="1" s="1"/>
  <c r="X283" i="1"/>
  <c r="X284" i="1" s="1"/>
  <c r="W283" i="1"/>
  <c r="W284" i="1" s="1"/>
  <c r="V283" i="1"/>
  <c r="V284" i="1" s="1"/>
  <c r="U283" i="1"/>
  <c r="U284" i="1" s="1"/>
  <c r="T283" i="1"/>
  <c r="T284" i="1" s="1"/>
  <c r="S283" i="1"/>
  <c r="S284" i="1" s="1"/>
  <c r="R283" i="1"/>
  <c r="R284" i="1" s="1"/>
  <c r="P283" i="1"/>
  <c r="P284" i="1" s="1"/>
  <c r="O283" i="1"/>
  <c r="O284" i="1" s="1"/>
  <c r="N283" i="1"/>
  <c r="N284" i="1" s="1"/>
  <c r="M283" i="1"/>
  <c r="M284" i="1" s="1"/>
  <c r="L283" i="1"/>
  <c r="L284" i="1" s="1"/>
  <c r="K283" i="1"/>
  <c r="K284" i="1" s="1"/>
  <c r="J283" i="1"/>
  <c r="J284" i="1" s="1"/>
  <c r="I283" i="1"/>
  <c r="I284" i="1" s="1"/>
  <c r="H283" i="1"/>
  <c r="H284" i="1" s="1"/>
  <c r="G283" i="1"/>
  <c r="G284" i="1" s="1"/>
  <c r="F283" i="1"/>
  <c r="F284" i="1" s="1"/>
  <c r="E283" i="1"/>
  <c r="E284" i="1" s="1"/>
  <c r="BD282" i="1"/>
  <c r="AQ282" i="1"/>
  <c r="AD282" i="1"/>
  <c r="Q282" i="1"/>
  <c r="BD281" i="1"/>
  <c r="AQ281" i="1"/>
  <c r="AD281" i="1"/>
  <c r="Q281" i="1"/>
  <c r="AC278" i="1"/>
  <c r="AB278" i="1"/>
  <c r="AA278" i="1"/>
  <c r="Z278" i="1"/>
  <c r="Y278" i="1"/>
  <c r="X278" i="1"/>
  <c r="W278" i="1"/>
  <c r="V278" i="1"/>
  <c r="U278" i="1"/>
  <c r="T278" i="1"/>
  <c r="S278" i="1"/>
  <c r="R277" i="1"/>
  <c r="P277" i="1"/>
  <c r="P278" i="1" s="1"/>
  <c r="O277" i="1"/>
  <c r="O278" i="1" s="1"/>
  <c r="N277" i="1"/>
  <c r="N278" i="1" s="1"/>
  <c r="M277" i="1"/>
  <c r="M278" i="1" s="1"/>
  <c r="L277" i="1"/>
  <c r="L278" i="1" s="1"/>
  <c r="K277" i="1"/>
  <c r="K278" i="1" s="1"/>
  <c r="J277" i="1"/>
  <c r="J278" i="1" s="1"/>
  <c r="I277" i="1"/>
  <c r="I278" i="1" s="1"/>
  <c r="H277" i="1"/>
  <c r="H278" i="1" s="1"/>
  <c r="G277" i="1"/>
  <c r="G278" i="1" s="1"/>
  <c r="F277" i="1"/>
  <c r="E277" i="1"/>
  <c r="E278" i="1" s="1"/>
  <c r="AD276" i="1"/>
  <c r="Q276" i="1"/>
  <c r="AD275" i="1"/>
  <c r="Q275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Q271" i="1"/>
  <c r="Q270" i="1"/>
  <c r="Q269" i="1"/>
  <c r="P266" i="1"/>
  <c r="O266" i="1"/>
  <c r="N266" i="1"/>
  <c r="M266" i="1"/>
  <c r="L266" i="1"/>
  <c r="K266" i="1"/>
  <c r="J266" i="1"/>
  <c r="I266" i="1"/>
  <c r="G266" i="1"/>
  <c r="F266" i="1"/>
  <c r="E266" i="1"/>
  <c r="H265" i="1"/>
  <c r="Q264" i="1"/>
  <c r="Q263" i="1"/>
  <c r="BC259" i="1"/>
  <c r="BC260" i="1" s="1"/>
  <c r="BB259" i="1"/>
  <c r="BB260" i="1" s="1"/>
  <c r="BA259" i="1"/>
  <c r="BA260" i="1" s="1"/>
  <c r="AZ259" i="1"/>
  <c r="AZ260" i="1" s="1"/>
  <c r="AY259" i="1"/>
  <c r="AY260" i="1" s="1"/>
  <c r="AX259" i="1"/>
  <c r="AX260" i="1" s="1"/>
  <c r="AW259" i="1"/>
  <c r="AV259" i="1"/>
  <c r="AV260" i="1" s="1"/>
  <c r="AU259" i="1"/>
  <c r="AU260" i="1" s="1"/>
  <c r="AT259" i="1"/>
  <c r="AT260" i="1" s="1"/>
  <c r="AS259" i="1"/>
  <c r="AS260" i="1" s="1"/>
  <c r="AR259" i="1"/>
  <c r="AP259" i="1"/>
  <c r="AP260" i="1" s="1"/>
  <c r="AO259" i="1"/>
  <c r="AO260" i="1" s="1"/>
  <c r="AN259" i="1"/>
  <c r="AN260" i="1" s="1"/>
  <c r="AM259" i="1"/>
  <c r="AM260" i="1" s="1"/>
  <c r="AL259" i="1"/>
  <c r="AL260" i="1" s="1"/>
  <c r="AK259" i="1"/>
  <c r="AK260" i="1" s="1"/>
  <c r="AJ259" i="1"/>
  <c r="AJ260" i="1" s="1"/>
  <c r="AI259" i="1"/>
  <c r="AI260" i="1" s="1"/>
  <c r="AH259" i="1"/>
  <c r="AH260" i="1" s="1"/>
  <c r="AG259" i="1"/>
  <c r="AG260" i="1" s="1"/>
  <c r="AF259" i="1"/>
  <c r="AF260" i="1" s="1"/>
  <c r="AE259" i="1"/>
  <c r="AE260" i="1" s="1"/>
  <c r="AC259" i="1"/>
  <c r="AC260" i="1" s="1"/>
  <c r="AB259" i="1"/>
  <c r="AB260" i="1" s="1"/>
  <c r="AA259" i="1"/>
  <c r="AA260" i="1" s="1"/>
  <c r="Z259" i="1"/>
  <c r="Z260" i="1" s="1"/>
  <c r="Y259" i="1"/>
  <c r="Y260" i="1" s="1"/>
  <c r="X259" i="1"/>
  <c r="X260" i="1" s="1"/>
  <c r="W259" i="1"/>
  <c r="W260" i="1" s="1"/>
  <c r="V259" i="1"/>
  <c r="V260" i="1" s="1"/>
  <c r="U259" i="1"/>
  <c r="U260" i="1" s="1"/>
  <c r="T259" i="1"/>
  <c r="T260" i="1" s="1"/>
  <c r="S259" i="1"/>
  <c r="S260" i="1" s="1"/>
  <c r="R259" i="1"/>
  <c r="R260" i="1" s="1"/>
  <c r="P259" i="1"/>
  <c r="P260" i="1" s="1"/>
  <c r="O259" i="1"/>
  <c r="O260" i="1" s="1"/>
  <c r="N259" i="1"/>
  <c r="N260" i="1" s="1"/>
  <c r="M259" i="1"/>
  <c r="M260" i="1" s="1"/>
  <c r="L259" i="1"/>
  <c r="L260" i="1" s="1"/>
  <c r="K259" i="1"/>
  <c r="K260" i="1" s="1"/>
  <c r="J259" i="1"/>
  <c r="J260" i="1" s="1"/>
  <c r="I259" i="1"/>
  <c r="I260" i="1" s="1"/>
  <c r="H259" i="1"/>
  <c r="H260" i="1" s="1"/>
  <c r="G259" i="1"/>
  <c r="G260" i="1" s="1"/>
  <c r="F259" i="1"/>
  <c r="F260" i="1" s="1"/>
  <c r="E259" i="1"/>
  <c r="E260" i="1" s="1"/>
  <c r="BD258" i="1"/>
  <c r="AQ258" i="1"/>
  <c r="AD258" i="1"/>
  <c r="Q258" i="1"/>
  <c r="BD257" i="1"/>
  <c r="AQ257" i="1"/>
  <c r="AD257" i="1"/>
  <c r="Q257" i="1"/>
  <c r="BC254" i="1"/>
  <c r="BB254" i="1"/>
  <c r="BA254" i="1"/>
  <c r="AZ253" i="1"/>
  <c r="AZ254" i="1" s="1"/>
  <c r="AY253" i="1"/>
  <c r="AY254" i="1" s="1"/>
  <c r="AX253" i="1"/>
  <c r="AX254" i="1" s="1"/>
  <c r="AW253" i="1"/>
  <c r="AV253" i="1"/>
  <c r="AV254" i="1" s="1"/>
  <c r="AU253" i="1"/>
  <c r="AU254" i="1" s="1"/>
  <c r="AT253" i="1"/>
  <c r="AT254" i="1" s="1"/>
  <c r="AS253" i="1"/>
  <c r="AS254" i="1" s="1"/>
  <c r="AR253" i="1"/>
  <c r="AP253" i="1"/>
  <c r="AP254" i="1" s="1"/>
  <c r="AO253" i="1"/>
  <c r="AO254" i="1" s="1"/>
  <c r="AN253" i="1"/>
  <c r="AN254" i="1" s="1"/>
  <c r="AM253" i="1"/>
  <c r="AM254" i="1" s="1"/>
  <c r="AL253" i="1"/>
  <c r="AL254" i="1" s="1"/>
  <c r="AK253" i="1"/>
  <c r="AK254" i="1" s="1"/>
  <c r="AJ253" i="1"/>
  <c r="AJ254" i="1" s="1"/>
  <c r="AI253" i="1"/>
  <c r="AI254" i="1" s="1"/>
  <c r="AH253" i="1"/>
  <c r="AH254" i="1" s="1"/>
  <c r="AG253" i="1"/>
  <c r="AG254" i="1" s="1"/>
  <c r="AF253" i="1"/>
  <c r="AF254" i="1" s="1"/>
  <c r="AE253" i="1"/>
  <c r="AE254" i="1" s="1"/>
  <c r="AC253" i="1"/>
  <c r="AC254" i="1" s="1"/>
  <c r="AB253" i="1"/>
  <c r="AB254" i="1" s="1"/>
  <c r="AA253" i="1"/>
  <c r="AA254" i="1" s="1"/>
  <c r="Z253" i="1"/>
  <c r="Z254" i="1" s="1"/>
  <c r="Y253" i="1"/>
  <c r="Y254" i="1" s="1"/>
  <c r="X253" i="1"/>
  <c r="X254" i="1" s="1"/>
  <c r="W253" i="1"/>
  <c r="W254" i="1" s="1"/>
  <c r="V253" i="1"/>
  <c r="V254" i="1" s="1"/>
  <c r="U253" i="1"/>
  <c r="U254" i="1" s="1"/>
  <c r="T253" i="1"/>
  <c r="T254" i="1" s="1"/>
  <c r="S253" i="1"/>
  <c r="S254" i="1" s="1"/>
  <c r="R253" i="1"/>
  <c r="R254" i="1" s="1"/>
  <c r="P253" i="1"/>
  <c r="P254" i="1" s="1"/>
  <c r="O253" i="1"/>
  <c r="O254" i="1" s="1"/>
  <c r="N253" i="1"/>
  <c r="N254" i="1" s="1"/>
  <c r="M253" i="1"/>
  <c r="M254" i="1" s="1"/>
  <c r="L253" i="1"/>
  <c r="L254" i="1" s="1"/>
  <c r="K253" i="1"/>
  <c r="K254" i="1" s="1"/>
  <c r="J253" i="1"/>
  <c r="J254" i="1" s="1"/>
  <c r="I253" i="1"/>
  <c r="I254" i="1" s="1"/>
  <c r="H253" i="1"/>
  <c r="H254" i="1" s="1"/>
  <c r="G253" i="1"/>
  <c r="G254" i="1" s="1"/>
  <c r="F253" i="1"/>
  <c r="F254" i="1" s="1"/>
  <c r="E253" i="1"/>
  <c r="E254" i="1" s="1"/>
  <c r="BD252" i="1"/>
  <c r="AQ252" i="1"/>
  <c r="AD252" i="1"/>
  <c r="Q252" i="1"/>
  <c r="BD251" i="1"/>
  <c r="AQ251" i="1"/>
  <c r="AD251" i="1"/>
  <c r="Q251" i="1"/>
  <c r="BC247" i="1"/>
  <c r="BC248" i="1" s="1"/>
  <c r="BB247" i="1"/>
  <c r="BB248" i="1" s="1"/>
  <c r="BA247" i="1"/>
  <c r="BA248" i="1" s="1"/>
  <c r="AZ247" i="1"/>
  <c r="AZ248" i="1" s="1"/>
  <c r="AY247" i="1"/>
  <c r="AY248" i="1" s="1"/>
  <c r="AX247" i="1"/>
  <c r="AX248" i="1" s="1"/>
  <c r="AW247" i="1"/>
  <c r="AV247" i="1"/>
  <c r="AV248" i="1" s="1"/>
  <c r="AU247" i="1"/>
  <c r="AU248" i="1" s="1"/>
  <c r="AT247" i="1"/>
  <c r="AT248" i="1" s="1"/>
  <c r="AS247" i="1"/>
  <c r="AS248" i="1" s="1"/>
  <c r="AR247" i="1"/>
  <c r="AP247" i="1"/>
  <c r="AP248" i="1" s="1"/>
  <c r="AO247" i="1"/>
  <c r="AO248" i="1" s="1"/>
  <c r="AN247" i="1"/>
  <c r="AN248" i="1" s="1"/>
  <c r="AM247" i="1"/>
  <c r="AM248" i="1" s="1"/>
  <c r="AL247" i="1"/>
  <c r="AL248" i="1" s="1"/>
  <c r="AK247" i="1"/>
  <c r="AK248" i="1" s="1"/>
  <c r="AJ247" i="1"/>
  <c r="AJ248" i="1" s="1"/>
  <c r="AI247" i="1"/>
  <c r="AI248" i="1" s="1"/>
  <c r="AH247" i="1"/>
  <c r="AH248" i="1" s="1"/>
  <c r="AG247" i="1"/>
  <c r="AG248" i="1" s="1"/>
  <c r="AF247" i="1"/>
  <c r="AF248" i="1" s="1"/>
  <c r="AE247" i="1"/>
  <c r="AE248" i="1" s="1"/>
  <c r="AC247" i="1"/>
  <c r="AC248" i="1" s="1"/>
  <c r="AB247" i="1"/>
  <c r="AB248" i="1" s="1"/>
  <c r="AA247" i="1"/>
  <c r="AA248" i="1" s="1"/>
  <c r="Z247" i="1"/>
  <c r="Z248" i="1" s="1"/>
  <c r="Y247" i="1"/>
  <c r="Y248" i="1" s="1"/>
  <c r="X247" i="1"/>
  <c r="X248" i="1" s="1"/>
  <c r="W247" i="1"/>
  <c r="W248" i="1" s="1"/>
  <c r="V247" i="1"/>
  <c r="V248" i="1" s="1"/>
  <c r="U247" i="1"/>
  <c r="U248" i="1" s="1"/>
  <c r="T247" i="1"/>
  <c r="T248" i="1" s="1"/>
  <c r="S247" i="1"/>
  <c r="S248" i="1" s="1"/>
  <c r="R247" i="1"/>
  <c r="R248" i="1" s="1"/>
  <c r="P247" i="1"/>
  <c r="P248" i="1" s="1"/>
  <c r="O247" i="1"/>
  <c r="O248" i="1" s="1"/>
  <c r="N247" i="1"/>
  <c r="N248" i="1" s="1"/>
  <c r="M247" i="1"/>
  <c r="M248" i="1" s="1"/>
  <c r="L247" i="1"/>
  <c r="L248" i="1" s="1"/>
  <c r="K247" i="1"/>
  <c r="K248" i="1" s="1"/>
  <c r="J247" i="1"/>
  <c r="J248" i="1" s="1"/>
  <c r="I247" i="1"/>
  <c r="I248" i="1" s="1"/>
  <c r="H247" i="1"/>
  <c r="H248" i="1" s="1"/>
  <c r="G247" i="1"/>
  <c r="G248" i="1" s="1"/>
  <c r="F247" i="1"/>
  <c r="F248" i="1" s="1"/>
  <c r="E247" i="1"/>
  <c r="BD246" i="1"/>
  <c r="AQ246" i="1"/>
  <c r="AD246" i="1"/>
  <c r="Q246" i="1"/>
  <c r="BD245" i="1"/>
  <c r="AQ245" i="1"/>
  <c r="AD245" i="1"/>
  <c r="Q245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Q241" i="1"/>
  <c r="Q240" i="1"/>
  <c r="Q239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BC235" i="1"/>
  <c r="BC236" i="1" s="1"/>
  <c r="BB235" i="1"/>
  <c r="BB236" i="1" s="1"/>
  <c r="BA235" i="1"/>
  <c r="BA236" i="1" s="1"/>
  <c r="AZ235" i="1"/>
  <c r="AZ236" i="1" s="1"/>
  <c r="AY235" i="1"/>
  <c r="AY236" i="1" s="1"/>
  <c r="AX235" i="1"/>
  <c r="AX236" i="1" s="1"/>
  <c r="AW235" i="1"/>
  <c r="AV235" i="1"/>
  <c r="AV236" i="1" s="1"/>
  <c r="AU235" i="1"/>
  <c r="AU236" i="1" s="1"/>
  <c r="AT235" i="1"/>
  <c r="AT236" i="1" s="1"/>
  <c r="AS235" i="1"/>
  <c r="AS236" i="1" s="1"/>
  <c r="AR235" i="1"/>
  <c r="AQ235" i="1"/>
  <c r="AD235" i="1"/>
  <c r="Q235" i="1"/>
  <c r="BD234" i="1"/>
  <c r="AQ234" i="1"/>
  <c r="AD234" i="1"/>
  <c r="Q234" i="1"/>
  <c r="BD233" i="1"/>
  <c r="AQ233" i="1"/>
  <c r="AD233" i="1"/>
  <c r="Q233" i="1"/>
  <c r="BC229" i="1"/>
  <c r="BC230" i="1" s="1"/>
  <c r="BB229" i="1"/>
  <c r="BB230" i="1" s="1"/>
  <c r="BA229" i="1"/>
  <c r="BA230" i="1" s="1"/>
  <c r="AZ229" i="1"/>
  <c r="AZ230" i="1" s="1"/>
  <c r="AY229" i="1"/>
  <c r="AY230" i="1" s="1"/>
  <c r="AX229" i="1"/>
  <c r="AX230" i="1" s="1"/>
  <c r="AW229" i="1"/>
  <c r="AV229" i="1"/>
  <c r="AV230" i="1" s="1"/>
  <c r="AU229" i="1"/>
  <c r="AU230" i="1" s="1"/>
  <c r="AT229" i="1"/>
  <c r="AT230" i="1" s="1"/>
  <c r="AS229" i="1"/>
  <c r="AS230" i="1" s="1"/>
  <c r="AR229" i="1"/>
  <c r="AP229" i="1"/>
  <c r="AP230" i="1" s="1"/>
  <c r="AO229" i="1"/>
  <c r="AO230" i="1" s="1"/>
  <c r="AN229" i="1"/>
  <c r="AN230" i="1" s="1"/>
  <c r="AM229" i="1"/>
  <c r="AM230" i="1" s="1"/>
  <c r="AL229" i="1"/>
  <c r="AL230" i="1" s="1"/>
  <c r="AK229" i="1"/>
  <c r="AK230" i="1" s="1"/>
  <c r="AJ229" i="1"/>
  <c r="AJ230" i="1" s="1"/>
  <c r="AI229" i="1"/>
  <c r="AI230" i="1" s="1"/>
  <c r="AH229" i="1"/>
  <c r="AH230" i="1" s="1"/>
  <c r="AG229" i="1"/>
  <c r="AG230" i="1" s="1"/>
  <c r="AF229" i="1"/>
  <c r="AF230" i="1" s="1"/>
  <c r="AE229" i="1"/>
  <c r="AE230" i="1" s="1"/>
  <c r="AC229" i="1"/>
  <c r="AC230" i="1" s="1"/>
  <c r="AB229" i="1"/>
  <c r="AB230" i="1" s="1"/>
  <c r="AA229" i="1"/>
  <c r="AA230" i="1" s="1"/>
  <c r="Z229" i="1"/>
  <c r="Z230" i="1" s="1"/>
  <c r="Y229" i="1"/>
  <c r="Y230" i="1" s="1"/>
  <c r="X229" i="1"/>
  <c r="X230" i="1" s="1"/>
  <c r="W229" i="1"/>
  <c r="W230" i="1" s="1"/>
  <c r="V229" i="1"/>
  <c r="V230" i="1" s="1"/>
  <c r="U229" i="1"/>
  <c r="U230" i="1" s="1"/>
  <c r="T229" i="1"/>
  <c r="T230" i="1" s="1"/>
  <c r="S229" i="1"/>
  <c r="S230" i="1" s="1"/>
  <c r="R229" i="1"/>
  <c r="R230" i="1" s="1"/>
  <c r="P229" i="1"/>
  <c r="P230" i="1" s="1"/>
  <c r="O229" i="1"/>
  <c r="O230" i="1" s="1"/>
  <c r="N229" i="1"/>
  <c r="N230" i="1" s="1"/>
  <c r="M229" i="1"/>
  <c r="M230" i="1" s="1"/>
  <c r="L229" i="1"/>
  <c r="L230" i="1" s="1"/>
  <c r="K229" i="1"/>
  <c r="K230" i="1" s="1"/>
  <c r="J229" i="1"/>
  <c r="J230" i="1" s="1"/>
  <c r="I229" i="1"/>
  <c r="I230" i="1" s="1"/>
  <c r="H229" i="1"/>
  <c r="H230" i="1" s="1"/>
  <c r="G229" i="1"/>
  <c r="G230" i="1" s="1"/>
  <c r="F229" i="1"/>
  <c r="F230" i="1" s="1"/>
  <c r="E229" i="1"/>
  <c r="E230" i="1" s="1"/>
  <c r="BD228" i="1"/>
  <c r="AQ228" i="1"/>
  <c r="AD228" i="1"/>
  <c r="Q228" i="1"/>
  <c r="BD227" i="1"/>
  <c r="AQ227" i="1"/>
  <c r="AD227" i="1"/>
  <c r="Q227" i="1"/>
  <c r="BC223" i="1"/>
  <c r="BC224" i="1" s="1"/>
  <c r="BB223" i="1"/>
  <c r="BB224" i="1" s="1"/>
  <c r="BA223" i="1"/>
  <c r="BA224" i="1" s="1"/>
  <c r="AZ223" i="1"/>
  <c r="AZ224" i="1" s="1"/>
  <c r="AY223" i="1"/>
  <c r="AY224" i="1" s="1"/>
  <c r="AX223" i="1"/>
  <c r="AX224" i="1" s="1"/>
  <c r="AW223" i="1"/>
  <c r="AV223" i="1"/>
  <c r="AV224" i="1" s="1"/>
  <c r="AU223" i="1"/>
  <c r="AU224" i="1" s="1"/>
  <c r="AT223" i="1"/>
  <c r="AT224" i="1" s="1"/>
  <c r="AS223" i="1"/>
  <c r="AS224" i="1" s="1"/>
  <c r="AR223" i="1"/>
  <c r="AR224" i="1" s="1"/>
  <c r="AP223" i="1"/>
  <c r="AP224" i="1" s="1"/>
  <c r="AO223" i="1"/>
  <c r="AO224" i="1" s="1"/>
  <c r="AN223" i="1"/>
  <c r="AN224" i="1" s="1"/>
  <c r="AM223" i="1"/>
  <c r="AM224" i="1" s="1"/>
  <c r="AL223" i="1"/>
  <c r="AL224" i="1" s="1"/>
  <c r="AK223" i="1"/>
  <c r="AK224" i="1" s="1"/>
  <c r="AJ223" i="1"/>
  <c r="AJ224" i="1" s="1"/>
  <c r="AI223" i="1"/>
  <c r="AI224" i="1" s="1"/>
  <c r="AH223" i="1"/>
  <c r="AH224" i="1" s="1"/>
  <c r="AG223" i="1"/>
  <c r="AG224" i="1" s="1"/>
  <c r="AF223" i="1"/>
  <c r="AF224" i="1" s="1"/>
  <c r="AE223" i="1"/>
  <c r="AE224" i="1" s="1"/>
  <c r="AC223" i="1"/>
  <c r="AC224" i="1" s="1"/>
  <c r="AB223" i="1"/>
  <c r="AB224" i="1" s="1"/>
  <c r="AA223" i="1"/>
  <c r="AA224" i="1" s="1"/>
  <c r="Z223" i="1"/>
  <c r="Z224" i="1" s="1"/>
  <c r="Y223" i="1"/>
  <c r="Y224" i="1" s="1"/>
  <c r="X223" i="1"/>
  <c r="X224" i="1" s="1"/>
  <c r="W223" i="1"/>
  <c r="W224" i="1" s="1"/>
  <c r="V223" i="1"/>
  <c r="V224" i="1" s="1"/>
  <c r="U223" i="1"/>
  <c r="U224" i="1" s="1"/>
  <c r="T223" i="1"/>
  <c r="T224" i="1" s="1"/>
  <c r="S223" i="1"/>
  <c r="S224" i="1" s="1"/>
  <c r="R223" i="1"/>
  <c r="R224" i="1" s="1"/>
  <c r="P223" i="1"/>
  <c r="P224" i="1" s="1"/>
  <c r="O223" i="1"/>
  <c r="O224" i="1" s="1"/>
  <c r="N223" i="1"/>
  <c r="N224" i="1" s="1"/>
  <c r="M223" i="1"/>
  <c r="M224" i="1" s="1"/>
  <c r="L223" i="1"/>
  <c r="L224" i="1" s="1"/>
  <c r="K223" i="1"/>
  <c r="K224" i="1" s="1"/>
  <c r="J223" i="1"/>
  <c r="J224" i="1" s="1"/>
  <c r="I223" i="1"/>
  <c r="I224" i="1" s="1"/>
  <c r="H223" i="1"/>
  <c r="H224" i="1" s="1"/>
  <c r="G223" i="1"/>
  <c r="G224" i="1" s="1"/>
  <c r="F223" i="1"/>
  <c r="F224" i="1" s="1"/>
  <c r="E223" i="1"/>
  <c r="E224" i="1" s="1"/>
  <c r="BD222" i="1"/>
  <c r="AQ222" i="1"/>
  <c r="AD222" i="1"/>
  <c r="Q222" i="1"/>
  <c r="BD221" i="1"/>
  <c r="AQ221" i="1"/>
  <c r="AD221" i="1"/>
  <c r="Q221" i="1"/>
  <c r="BC218" i="1"/>
  <c r="BB218" i="1"/>
  <c r="BA218" i="1"/>
  <c r="AZ218" i="1"/>
  <c r="AY218" i="1"/>
  <c r="AX218" i="1"/>
  <c r="AW218" i="1"/>
  <c r="AV218" i="1"/>
  <c r="AU218" i="1"/>
  <c r="AT218" i="1"/>
  <c r="AS217" i="1"/>
  <c r="AR217" i="1"/>
  <c r="AP217" i="1"/>
  <c r="AP218" i="1" s="1"/>
  <c r="AO217" i="1"/>
  <c r="AO218" i="1" s="1"/>
  <c r="AN217" i="1"/>
  <c r="AN218" i="1" s="1"/>
  <c r="AM217" i="1"/>
  <c r="AM218" i="1" s="1"/>
  <c r="AL217" i="1"/>
  <c r="AL218" i="1" s="1"/>
  <c r="AK217" i="1"/>
  <c r="AK218" i="1" s="1"/>
  <c r="AJ217" i="1"/>
  <c r="AJ218" i="1" s="1"/>
  <c r="AI217" i="1"/>
  <c r="AI218" i="1" s="1"/>
  <c r="AH217" i="1"/>
  <c r="AH218" i="1" s="1"/>
  <c r="AG217" i="1"/>
  <c r="AG218" i="1" s="1"/>
  <c r="AF217" i="1"/>
  <c r="AF218" i="1" s="1"/>
  <c r="AE217" i="1"/>
  <c r="AE218" i="1" s="1"/>
  <c r="AC217" i="1"/>
  <c r="AC218" i="1" s="1"/>
  <c r="AB217" i="1"/>
  <c r="AB218" i="1" s="1"/>
  <c r="AA217" i="1"/>
  <c r="AA218" i="1" s="1"/>
  <c r="Z217" i="1"/>
  <c r="Z218" i="1" s="1"/>
  <c r="Y217" i="1"/>
  <c r="Y218" i="1" s="1"/>
  <c r="X217" i="1"/>
  <c r="X218" i="1" s="1"/>
  <c r="W217" i="1"/>
  <c r="W218" i="1" s="1"/>
  <c r="V217" i="1"/>
  <c r="V218" i="1" s="1"/>
  <c r="U217" i="1"/>
  <c r="U218" i="1" s="1"/>
  <c r="T217" i="1"/>
  <c r="T218" i="1" s="1"/>
  <c r="S217" i="1"/>
  <c r="S218" i="1" s="1"/>
  <c r="R217" i="1"/>
  <c r="P217" i="1"/>
  <c r="P218" i="1" s="1"/>
  <c r="O217" i="1"/>
  <c r="O218" i="1" s="1"/>
  <c r="N217" i="1"/>
  <c r="N218" i="1" s="1"/>
  <c r="M217" i="1"/>
  <c r="M218" i="1" s="1"/>
  <c r="L217" i="1"/>
  <c r="L218" i="1" s="1"/>
  <c r="K217" i="1"/>
  <c r="K218" i="1" s="1"/>
  <c r="J217" i="1"/>
  <c r="J218" i="1" s="1"/>
  <c r="I217" i="1"/>
  <c r="I218" i="1" s="1"/>
  <c r="H217" i="1"/>
  <c r="H218" i="1" s="1"/>
  <c r="G217" i="1"/>
  <c r="G218" i="1" s="1"/>
  <c r="F217" i="1"/>
  <c r="F218" i="1" s="1"/>
  <c r="E217" i="1"/>
  <c r="E218" i="1" s="1"/>
  <c r="AQ216" i="1"/>
  <c r="AD216" i="1"/>
  <c r="Q216" i="1"/>
  <c r="AQ215" i="1"/>
  <c r="AD215" i="1"/>
  <c r="Q215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Q211" i="1"/>
  <c r="Q210" i="1"/>
  <c r="Q209" i="1"/>
  <c r="BC205" i="1"/>
  <c r="BC206" i="1" s="1"/>
  <c r="BB205" i="1"/>
  <c r="BB206" i="1" s="1"/>
  <c r="BA205" i="1"/>
  <c r="BA206" i="1" s="1"/>
  <c r="AZ205" i="1"/>
  <c r="AZ206" i="1" s="1"/>
  <c r="AY205" i="1"/>
  <c r="AY206" i="1" s="1"/>
  <c r="AX205" i="1"/>
  <c r="AX206" i="1" s="1"/>
  <c r="AW205" i="1"/>
  <c r="AV205" i="1"/>
  <c r="AU205" i="1"/>
  <c r="AU206" i="1" s="1"/>
  <c r="AT205" i="1"/>
  <c r="AT206" i="1" s="1"/>
  <c r="AS205" i="1"/>
  <c r="AS206" i="1" s="1"/>
  <c r="AR205" i="1"/>
  <c r="AP205" i="1"/>
  <c r="AP206" i="1" s="1"/>
  <c r="AO205" i="1"/>
  <c r="AO206" i="1" s="1"/>
  <c r="AN205" i="1"/>
  <c r="AN206" i="1" s="1"/>
  <c r="AM205" i="1"/>
  <c r="AM206" i="1" s="1"/>
  <c r="AL205" i="1"/>
  <c r="AL206" i="1" s="1"/>
  <c r="AK205" i="1"/>
  <c r="AK206" i="1" s="1"/>
  <c r="AJ205" i="1"/>
  <c r="AJ206" i="1" s="1"/>
  <c r="AI205" i="1"/>
  <c r="AI206" i="1" s="1"/>
  <c r="AH205" i="1"/>
  <c r="AH206" i="1" s="1"/>
  <c r="AG205" i="1"/>
  <c r="AG206" i="1" s="1"/>
  <c r="AF205" i="1"/>
  <c r="AF206" i="1" s="1"/>
  <c r="AE205" i="1"/>
  <c r="AE206" i="1" s="1"/>
  <c r="AC205" i="1"/>
  <c r="AC206" i="1" s="1"/>
  <c r="AB205" i="1"/>
  <c r="AB206" i="1" s="1"/>
  <c r="AA205" i="1"/>
  <c r="AA206" i="1" s="1"/>
  <c r="Z205" i="1"/>
  <c r="Z206" i="1" s="1"/>
  <c r="Y205" i="1"/>
  <c r="Y206" i="1" s="1"/>
  <c r="X205" i="1"/>
  <c r="X206" i="1" s="1"/>
  <c r="W205" i="1"/>
  <c r="W206" i="1" s="1"/>
  <c r="V205" i="1"/>
  <c r="V206" i="1" s="1"/>
  <c r="U205" i="1"/>
  <c r="U206" i="1" s="1"/>
  <c r="T205" i="1"/>
  <c r="T206" i="1" s="1"/>
  <c r="S205" i="1"/>
  <c r="S206" i="1" s="1"/>
  <c r="R205" i="1"/>
  <c r="P205" i="1"/>
  <c r="P206" i="1" s="1"/>
  <c r="O205" i="1"/>
  <c r="O206" i="1" s="1"/>
  <c r="N205" i="1"/>
  <c r="N206" i="1" s="1"/>
  <c r="M205" i="1"/>
  <c r="M206" i="1" s="1"/>
  <c r="L205" i="1"/>
  <c r="L206" i="1" s="1"/>
  <c r="K205" i="1"/>
  <c r="K206" i="1" s="1"/>
  <c r="J205" i="1"/>
  <c r="J206" i="1" s="1"/>
  <c r="I205" i="1"/>
  <c r="I206" i="1" s="1"/>
  <c r="H205" i="1"/>
  <c r="H206" i="1" s="1"/>
  <c r="G205" i="1"/>
  <c r="G206" i="1" s="1"/>
  <c r="F205" i="1"/>
  <c r="F206" i="1" s="1"/>
  <c r="E205" i="1"/>
  <c r="E206" i="1" s="1"/>
  <c r="BD204" i="1"/>
  <c r="AQ204" i="1"/>
  <c r="AD204" i="1"/>
  <c r="Q204" i="1"/>
  <c r="BD203" i="1"/>
  <c r="AQ203" i="1"/>
  <c r="AD203" i="1"/>
  <c r="Q203" i="1"/>
  <c r="BC199" i="1"/>
  <c r="BC200" i="1" s="1"/>
  <c r="BB199" i="1"/>
  <c r="BB200" i="1" s="1"/>
  <c r="BA199" i="1"/>
  <c r="BA200" i="1" s="1"/>
  <c r="AZ199" i="1"/>
  <c r="AZ200" i="1" s="1"/>
  <c r="AY199" i="1"/>
  <c r="AY200" i="1" s="1"/>
  <c r="AX199" i="1"/>
  <c r="AX200" i="1" s="1"/>
  <c r="AW199" i="1"/>
  <c r="AV199" i="1"/>
  <c r="AV200" i="1" s="1"/>
  <c r="AU199" i="1"/>
  <c r="AU200" i="1" s="1"/>
  <c r="AT199" i="1"/>
  <c r="AT200" i="1" s="1"/>
  <c r="AS199" i="1"/>
  <c r="AS200" i="1" s="1"/>
  <c r="AR199" i="1"/>
  <c r="AP199" i="1"/>
  <c r="AP200" i="1" s="1"/>
  <c r="AO199" i="1"/>
  <c r="AO200" i="1" s="1"/>
  <c r="AN199" i="1"/>
  <c r="AN200" i="1" s="1"/>
  <c r="AM199" i="1"/>
  <c r="AM200" i="1" s="1"/>
  <c r="AL199" i="1"/>
  <c r="AL200" i="1" s="1"/>
  <c r="AK199" i="1"/>
  <c r="AK200" i="1" s="1"/>
  <c r="AJ199" i="1"/>
  <c r="AJ200" i="1" s="1"/>
  <c r="AI199" i="1"/>
  <c r="AI200" i="1" s="1"/>
  <c r="AH199" i="1"/>
  <c r="AH200" i="1" s="1"/>
  <c r="AG199" i="1"/>
  <c r="AG200" i="1" s="1"/>
  <c r="AF199" i="1"/>
  <c r="AF200" i="1" s="1"/>
  <c r="AE199" i="1"/>
  <c r="AE200" i="1" s="1"/>
  <c r="AC199" i="1"/>
  <c r="AC200" i="1" s="1"/>
  <c r="AB199" i="1"/>
  <c r="AB200" i="1" s="1"/>
  <c r="AA199" i="1"/>
  <c r="AA200" i="1" s="1"/>
  <c r="Z199" i="1"/>
  <c r="Z200" i="1" s="1"/>
  <c r="Y199" i="1"/>
  <c r="Y200" i="1" s="1"/>
  <c r="X199" i="1"/>
  <c r="X200" i="1" s="1"/>
  <c r="W199" i="1"/>
  <c r="W200" i="1" s="1"/>
  <c r="V199" i="1"/>
  <c r="V200" i="1" s="1"/>
  <c r="U199" i="1"/>
  <c r="U200" i="1" s="1"/>
  <c r="T199" i="1"/>
  <c r="T200" i="1" s="1"/>
  <c r="S199" i="1"/>
  <c r="S200" i="1" s="1"/>
  <c r="R199" i="1"/>
  <c r="R200" i="1" s="1"/>
  <c r="P199" i="1"/>
  <c r="P200" i="1" s="1"/>
  <c r="O199" i="1"/>
  <c r="O200" i="1" s="1"/>
  <c r="N199" i="1"/>
  <c r="N200" i="1" s="1"/>
  <c r="M199" i="1"/>
  <c r="M200" i="1" s="1"/>
  <c r="L199" i="1"/>
  <c r="L200" i="1" s="1"/>
  <c r="K199" i="1"/>
  <c r="K200" i="1" s="1"/>
  <c r="J199" i="1"/>
  <c r="J200" i="1" s="1"/>
  <c r="I199" i="1"/>
  <c r="I200" i="1" s="1"/>
  <c r="H199" i="1"/>
  <c r="H200" i="1" s="1"/>
  <c r="G199" i="1"/>
  <c r="G200" i="1" s="1"/>
  <c r="F199" i="1"/>
  <c r="F200" i="1" s="1"/>
  <c r="E199" i="1"/>
  <c r="BD198" i="1"/>
  <c r="AQ198" i="1"/>
  <c r="AD198" i="1"/>
  <c r="Q198" i="1"/>
  <c r="BD197" i="1"/>
  <c r="AQ197" i="1"/>
  <c r="AD197" i="1"/>
  <c r="Q197" i="1"/>
  <c r="BC194" i="1"/>
  <c r="BB194" i="1"/>
  <c r="AA194" i="1"/>
  <c r="Z194" i="1"/>
  <c r="Y194" i="1"/>
  <c r="X194" i="1"/>
  <c r="W194" i="1"/>
  <c r="V194" i="1"/>
  <c r="U194" i="1"/>
  <c r="T194" i="1"/>
  <c r="S194" i="1"/>
  <c r="R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BA193" i="1"/>
  <c r="BA194" i="1" s="1"/>
  <c r="AZ193" i="1"/>
  <c r="AZ194" i="1" s="1"/>
  <c r="AY193" i="1"/>
  <c r="AY194" i="1" s="1"/>
  <c r="AX193" i="1"/>
  <c r="AX194" i="1" s="1"/>
  <c r="AW193" i="1"/>
  <c r="AV193" i="1"/>
  <c r="AV194" i="1" s="1"/>
  <c r="AU193" i="1"/>
  <c r="AU194" i="1" s="1"/>
  <c r="AT193" i="1"/>
  <c r="AT194" i="1" s="1"/>
  <c r="AS193" i="1"/>
  <c r="AS194" i="1" s="1"/>
  <c r="AR193" i="1"/>
  <c r="AP193" i="1"/>
  <c r="AP194" i="1" s="1"/>
  <c r="AO193" i="1"/>
  <c r="AO194" i="1" s="1"/>
  <c r="AN193" i="1"/>
  <c r="AN194" i="1" s="1"/>
  <c r="AM193" i="1"/>
  <c r="AM194" i="1" s="1"/>
  <c r="AL193" i="1"/>
  <c r="AL194" i="1" s="1"/>
  <c r="AK193" i="1"/>
  <c r="AK194" i="1" s="1"/>
  <c r="AJ193" i="1"/>
  <c r="AJ194" i="1" s="1"/>
  <c r="AI193" i="1"/>
  <c r="AI194" i="1" s="1"/>
  <c r="AH193" i="1"/>
  <c r="AH194" i="1" s="1"/>
  <c r="AG193" i="1"/>
  <c r="AG194" i="1" s="1"/>
  <c r="AF193" i="1"/>
  <c r="AE193" i="1"/>
  <c r="AE194" i="1" s="1"/>
  <c r="AC193" i="1"/>
  <c r="AC194" i="1" s="1"/>
  <c r="AB193" i="1"/>
  <c r="Q193" i="1"/>
  <c r="BD192" i="1"/>
  <c r="AQ192" i="1"/>
  <c r="AD192" i="1"/>
  <c r="Q192" i="1"/>
  <c r="BD191" i="1"/>
  <c r="AQ191" i="1"/>
  <c r="AD191" i="1"/>
  <c r="Q191" i="1"/>
  <c r="BC188" i="1"/>
  <c r="BB188" i="1"/>
  <c r="BA188" i="1"/>
  <c r="AZ188" i="1"/>
  <c r="AY188" i="1"/>
  <c r="AX188" i="1"/>
  <c r="AV187" i="1"/>
  <c r="AV188" i="1" s="1"/>
  <c r="AU187" i="1"/>
  <c r="AU188" i="1" s="1"/>
  <c r="AT187" i="1"/>
  <c r="AT188" i="1" s="1"/>
  <c r="AS187" i="1"/>
  <c r="AS188" i="1" s="1"/>
  <c r="AR187" i="1"/>
  <c r="AP187" i="1"/>
  <c r="AP188" i="1" s="1"/>
  <c r="AO187" i="1"/>
  <c r="AO188" i="1" s="1"/>
  <c r="AN187" i="1"/>
  <c r="AN188" i="1" s="1"/>
  <c r="AM187" i="1"/>
  <c r="AM188" i="1" s="1"/>
  <c r="AL187" i="1"/>
  <c r="AL188" i="1" s="1"/>
  <c r="AK187" i="1"/>
  <c r="AK188" i="1" s="1"/>
  <c r="AJ187" i="1"/>
  <c r="AJ188" i="1" s="1"/>
  <c r="AI187" i="1"/>
  <c r="AI188" i="1" s="1"/>
  <c r="AH187" i="1"/>
  <c r="AH188" i="1" s="1"/>
  <c r="AG187" i="1"/>
  <c r="AG188" i="1" s="1"/>
  <c r="AF187" i="1"/>
  <c r="AF188" i="1" s="1"/>
  <c r="AE187" i="1"/>
  <c r="AE188" i="1" s="1"/>
  <c r="AC187" i="1"/>
  <c r="AC188" i="1" s="1"/>
  <c r="AB187" i="1"/>
  <c r="AB188" i="1" s="1"/>
  <c r="AA187" i="1"/>
  <c r="AA188" i="1" s="1"/>
  <c r="Z187" i="1"/>
  <c r="Z188" i="1" s="1"/>
  <c r="Y187" i="1"/>
  <c r="Y188" i="1" s="1"/>
  <c r="X187" i="1"/>
  <c r="X188" i="1" s="1"/>
  <c r="W187" i="1"/>
  <c r="W188" i="1" s="1"/>
  <c r="V187" i="1"/>
  <c r="V188" i="1" s="1"/>
  <c r="U187" i="1"/>
  <c r="U188" i="1" s="1"/>
  <c r="T187" i="1"/>
  <c r="T188" i="1" s="1"/>
  <c r="S187" i="1"/>
  <c r="S188" i="1" s="1"/>
  <c r="R187" i="1"/>
  <c r="R188" i="1" s="1"/>
  <c r="P187" i="1"/>
  <c r="P188" i="1" s="1"/>
  <c r="O187" i="1"/>
  <c r="O188" i="1" s="1"/>
  <c r="N187" i="1"/>
  <c r="N188" i="1" s="1"/>
  <c r="M187" i="1"/>
  <c r="M188" i="1" s="1"/>
  <c r="L187" i="1"/>
  <c r="L188" i="1" s="1"/>
  <c r="K187" i="1"/>
  <c r="K188" i="1" s="1"/>
  <c r="J187" i="1"/>
  <c r="J188" i="1" s="1"/>
  <c r="I187" i="1"/>
  <c r="I188" i="1" s="1"/>
  <c r="H187" i="1"/>
  <c r="H188" i="1" s="1"/>
  <c r="G187" i="1"/>
  <c r="G188" i="1" s="1"/>
  <c r="F187" i="1"/>
  <c r="F188" i="1" s="1"/>
  <c r="E187" i="1"/>
  <c r="BD186" i="1"/>
  <c r="AQ186" i="1"/>
  <c r="AD186" i="1"/>
  <c r="Q186" i="1"/>
  <c r="BD185" i="1"/>
  <c r="AQ185" i="1"/>
  <c r="AD185" i="1"/>
  <c r="Q185" i="1"/>
  <c r="BC181" i="1"/>
  <c r="BC182" i="1" s="1"/>
  <c r="BB181" i="1"/>
  <c r="BB182" i="1" s="1"/>
  <c r="BA181" i="1"/>
  <c r="BA182" i="1" s="1"/>
  <c r="AZ181" i="1"/>
  <c r="AZ182" i="1" s="1"/>
  <c r="AY181" i="1"/>
  <c r="AY182" i="1" s="1"/>
  <c r="AX181" i="1"/>
  <c r="AX182" i="1" s="1"/>
  <c r="AW181" i="1"/>
  <c r="AV181" i="1"/>
  <c r="AV182" i="1" s="1"/>
  <c r="AU181" i="1"/>
  <c r="AU182" i="1" s="1"/>
  <c r="AT181" i="1"/>
  <c r="AT182" i="1" s="1"/>
  <c r="AS181" i="1"/>
  <c r="AS182" i="1" s="1"/>
  <c r="AR181" i="1"/>
  <c r="AP181" i="1"/>
  <c r="AP182" i="1" s="1"/>
  <c r="AO181" i="1"/>
  <c r="AO182" i="1" s="1"/>
  <c r="AN181" i="1"/>
  <c r="AN182" i="1" s="1"/>
  <c r="AM181" i="1"/>
  <c r="AM182" i="1" s="1"/>
  <c r="AL181" i="1"/>
  <c r="AL182" i="1" s="1"/>
  <c r="AK181" i="1"/>
  <c r="AK182" i="1" s="1"/>
  <c r="AJ181" i="1"/>
  <c r="AJ182" i="1" s="1"/>
  <c r="AI181" i="1"/>
  <c r="AI182" i="1" s="1"/>
  <c r="AH181" i="1"/>
  <c r="AH182" i="1" s="1"/>
  <c r="AG181" i="1"/>
  <c r="AG182" i="1" s="1"/>
  <c r="AF181" i="1"/>
  <c r="AF182" i="1" s="1"/>
  <c r="AE181" i="1"/>
  <c r="AC181" i="1"/>
  <c r="AC182" i="1" s="1"/>
  <c r="AB181" i="1"/>
  <c r="AB182" i="1" s="1"/>
  <c r="AA181" i="1"/>
  <c r="AA182" i="1" s="1"/>
  <c r="Z181" i="1"/>
  <c r="Z182" i="1" s="1"/>
  <c r="Y181" i="1"/>
  <c r="Y182" i="1" s="1"/>
  <c r="X181" i="1"/>
  <c r="X182" i="1" s="1"/>
  <c r="W181" i="1"/>
  <c r="W182" i="1" s="1"/>
  <c r="V181" i="1"/>
  <c r="V182" i="1" s="1"/>
  <c r="U181" i="1"/>
  <c r="U182" i="1" s="1"/>
  <c r="T181" i="1"/>
  <c r="S181" i="1"/>
  <c r="S182" i="1" s="1"/>
  <c r="R181" i="1"/>
  <c r="R182" i="1" s="1"/>
  <c r="P181" i="1"/>
  <c r="P182" i="1" s="1"/>
  <c r="O181" i="1"/>
  <c r="O182" i="1" s="1"/>
  <c r="N181" i="1"/>
  <c r="N182" i="1" s="1"/>
  <c r="M181" i="1"/>
  <c r="M182" i="1" s="1"/>
  <c r="L181" i="1"/>
  <c r="L182" i="1" s="1"/>
  <c r="K181" i="1"/>
  <c r="K182" i="1" s="1"/>
  <c r="J181" i="1"/>
  <c r="J182" i="1" s="1"/>
  <c r="I181" i="1"/>
  <c r="I182" i="1" s="1"/>
  <c r="H181" i="1"/>
  <c r="H182" i="1" s="1"/>
  <c r="G181" i="1"/>
  <c r="G182" i="1" s="1"/>
  <c r="F181" i="1"/>
  <c r="F182" i="1" s="1"/>
  <c r="E181" i="1"/>
  <c r="E182" i="1" s="1"/>
  <c r="BD180" i="1"/>
  <c r="AQ180" i="1"/>
  <c r="AD180" i="1"/>
  <c r="Q180" i="1"/>
  <c r="BD179" i="1"/>
  <c r="AQ179" i="1"/>
  <c r="AD179" i="1"/>
  <c r="Q179" i="1"/>
  <c r="BC175" i="1"/>
  <c r="BC176" i="1" s="1"/>
  <c r="BB175" i="1"/>
  <c r="BB176" i="1" s="1"/>
  <c r="BA175" i="1"/>
  <c r="BA176" i="1" s="1"/>
  <c r="AZ175" i="1"/>
  <c r="AZ176" i="1" s="1"/>
  <c r="AY175" i="1"/>
  <c r="AY176" i="1" s="1"/>
  <c r="AX175" i="1"/>
  <c r="AX176" i="1" s="1"/>
  <c r="AW175" i="1"/>
  <c r="AW176" i="1" s="1"/>
  <c r="AV175" i="1"/>
  <c r="AV176" i="1" s="1"/>
  <c r="AU175" i="1"/>
  <c r="AU176" i="1" s="1"/>
  <c r="AT175" i="1"/>
  <c r="AT176" i="1" s="1"/>
  <c r="AS175" i="1"/>
  <c r="AS176" i="1" s="1"/>
  <c r="AR175" i="1"/>
  <c r="AP175" i="1"/>
  <c r="AP176" i="1" s="1"/>
  <c r="AO175" i="1"/>
  <c r="AO176" i="1" s="1"/>
  <c r="AN175" i="1"/>
  <c r="AN176" i="1" s="1"/>
  <c r="AM175" i="1"/>
  <c r="AM176" i="1" s="1"/>
  <c r="AL175" i="1"/>
  <c r="AL176" i="1" s="1"/>
  <c r="AK175" i="1"/>
  <c r="AK176" i="1" s="1"/>
  <c r="AJ175" i="1"/>
  <c r="AJ176" i="1" s="1"/>
  <c r="AI175" i="1"/>
  <c r="AI176" i="1" s="1"/>
  <c r="AH175" i="1"/>
  <c r="AH176" i="1" s="1"/>
  <c r="AG175" i="1"/>
  <c r="AG176" i="1" s="1"/>
  <c r="AF175" i="1"/>
  <c r="AF176" i="1" s="1"/>
  <c r="AE175" i="1"/>
  <c r="AC175" i="1"/>
  <c r="AC176" i="1" s="1"/>
  <c r="AB175" i="1"/>
  <c r="AB176" i="1" s="1"/>
  <c r="AA175" i="1"/>
  <c r="AA176" i="1" s="1"/>
  <c r="Z175" i="1"/>
  <c r="Z176" i="1" s="1"/>
  <c r="Y175" i="1"/>
  <c r="Y176" i="1" s="1"/>
  <c r="X175" i="1"/>
  <c r="X176" i="1" s="1"/>
  <c r="W175" i="1"/>
  <c r="W176" i="1" s="1"/>
  <c r="V175" i="1"/>
  <c r="V176" i="1" s="1"/>
  <c r="U175" i="1"/>
  <c r="U176" i="1" s="1"/>
  <c r="T175" i="1"/>
  <c r="T176" i="1" s="1"/>
  <c r="S175" i="1"/>
  <c r="S176" i="1" s="1"/>
  <c r="R175" i="1"/>
  <c r="R176" i="1" s="1"/>
  <c r="P175" i="1"/>
  <c r="P176" i="1" s="1"/>
  <c r="O175" i="1"/>
  <c r="O176" i="1" s="1"/>
  <c r="N175" i="1"/>
  <c r="N176" i="1" s="1"/>
  <c r="M175" i="1"/>
  <c r="M176" i="1" s="1"/>
  <c r="L175" i="1"/>
  <c r="L176" i="1" s="1"/>
  <c r="K175" i="1"/>
  <c r="K176" i="1" s="1"/>
  <c r="J175" i="1"/>
  <c r="J176" i="1" s="1"/>
  <c r="I175" i="1"/>
  <c r="I176" i="1" s="1"/>
  <c r="H175" i="1"/>
  <c r="H176" i="1" s="1"/>
  <c r="G175" i="1"/>
  <c r="G176" i="1" s="1"/>
  <c r="F175" i="1"/>
  <c r="F176" i="1" s="1"/>
  <c r="E175" i="1"/>
  <c r="BD174" i="1"/>
  <c r="AQ174" i="1"/>
  <c r="AD174" i="1"/>
  <c r="Q174" i="1"/>
  <c r="BD173" i="1"/>
  <c r="AQ173" i="1"/>
  <c r="AD173" i="1"/>
  <c r="Q173" i="1"/>
  <c r="P170" i="1"/>
  <c r="O169" i="1"/>
  <c r="O170" i="1" s="1"/>
  <c r="N169" i="1"/>
  <c r="N170" i="1" s="1"/>
  <c r="M169" i="1"/>
  <c r="M170" i="1" s="1"/>
  <c r="L169" i="1"/>
  <c r="L170" i="1" s="1"/>
  <c r="K169" i="1"/>
  <c r="K170" i="1" s="1"/>
  <c r="J169" i="1"/>
  <c r="J170" i="1" s="1"/>
  <c r="I169" i="1"/>
  <c r="I170" i="1" s="1"/>
  <c r="H169" i="1"/>
  <c r="H170" i="1" s="1"/>
  <c r="G169" i="1"/>
  <c r="G170" i="1" s="1"/>
  <c r="F169" i="1"/>
  <c r="F170" i="1" s="1"/>
  <c r="E169" i="1"/>
  <c r="E170" i="1" s="1"/>
  <c r="Q168" i="1"/>
  <c r="Q167" i="1"/>
  <c r="BC163" i="1"/>
  <c r="BC164" i="1" s="1"/>
  <c r="BB163" i="1"/>
  <c r="BB164" i="1" s="1"/>
  <c r="BA163" i="1"/>
  <c r="BA164" i="1" s="1"/>
  <c r="AZ163" i="1"/>
  <c r="AZ164" i="1" s="1"/>
  <c r="AY163" i="1"/>
  <c r="AY164" i="1" s="1"/>
  <c r="AX163" i="1"/>
  <c r="AX164" i="1" s="1"/>
  <c r="AW163" i="1"/>
  <c r="AV163" i="1"/>
  <c r="AV164" i="1" s="1"/>
  <c r="AU163" i="1"/>
  <c r="AU164" i="1" s="1"/>
  <c r="AT163" i="1"/>
  <c r="AT164" i="1" s="1"/>
  <c r="AS163" i="1"/>
  <c r="AS164" i="1" s="1"/>
  <c r="AR163" i="1"/>
  <c r="AP163" i="1"/>
  <c r="AP164" i="1" s="1"/>
  <c r="AO163" i="1"/>
  <c r="AO164" i="1" s="1"/>
  <c r="AN163" i="1"/>
  <c r="AN164" i="1" s="1"/>
  <c r="AM163" i="1"/>
  <c r="AM164" i="1" s="1"/>
  <c r="AL163" i="1"/>
  <c r="AL164" i="1" s="1"/>
  <c r="AK163" i="1"/>
  <c r="AK164" i="1" s="1"/>
  <c r="AJ163" i="1"/>
  <c r="AJ164" i="1" s="1"/>
  <c r="AI163" i="1"/>
  <c r="AI164" i="1" s="1"/>
  <c r="AH163" i="1"/>
  <c r="AH164" i="1" s="1"/>
  <c r="AG163" i="1"/>
  <c r="AF163" i="1"/>
  <c r="AF164" i="1" s="1"/>
  <c r="AE163" i="1"/>
  <c r="AE164" i="1" s="1"/>
  <c r="AC163" i="1"/>
  <c r="AC164" i="1" s="1"/>
  <c r="AB163" i="1"/>
  <c r="AB164" i="1" s="1"/>
  <c r="AA163" i="1"/>
  <c r="AA164" i="1" s="1"/>
  <c r="Z163" i="1"/>
  <c r="Z164" i="1" s="1"/>
  <c r="Y163" i="1"/>
  <c r="Y164" i="1" s="1"/>
  <c r="X163" i="1"/>
  <c r="X164" i="1" s="1"/>
  <c r="W163" i="1"/>
  <c r="W164" i="1" s="1"/>
  <c r="V163" i="1"/>
  <c r="V164" i="1" s="1"/>
  <c r="U163" i="1"/>
  <c r="U164" i="1" s="1"/>
  <c r="T163" i="1"/>
  <c r="T164" i="1" s="1"/>
  <c r="S163" i="1"/>
  <c r="S164" i="1" s="1"/>
  <c r="R163" i="1"/>
  <c r="R164" i="1" s="1"/>
  <c r="P163" i="1"/>
  <c r="P164" i="1" s="1"/>
  <c r="O163" i="1"/>
  <c r="O164" i="1" s="1"/>
  <c r="N163" i="1"/>
  <c r="N164" i="1" s="1"/>
  <c r="M163" i="1"/>
  <c r="M164" i="1" s="1"/>
  <c r="L163" i="1"/>
  <c r="L164" i="1" s="1"/>
  <c r="K163" i="1"/>
  <c r="K164" i="1" s="1"/>
  <c r="J163" i="1"/>
  <c r="J164" i="1" s="1"/>
  <c r="I163" i="1"/>
  <c r="I164" i="1" s="1"/>
  <c r="H163" i="1"/>
  <c r="H164" i="1" s="1"/>
  <c r="G163" i="1"/>
  <c r="G164" i="1" s="1"/>
  <c r="F163" i="1"/>
  <c r="F164" i="1" s="1"/>
  <c r="E163" i="1"/>
  <c r="BD162" i="1"/>
  <c r="AQ162" i="1"/>
  <c r="AD162" i="1"/>
  <c r="Q162" i="1"/>
  <c r="BD161" i="1"/>
  <c r="AQ161" i="1"/>
  <c r="AD161" i="1"/>
  <c r="Q161" i="1"/>
  <c r="BC157" i="1"/>
  <c r="BC158" i="1" s="1"/>
  <c r="BB157" i="1"/>
  <c r="BB158" i="1" s="1"/>
  <c r="BA157" i="1"/>
  <c r="BA158" i="1" s="1"/>
  <c r="AZ157" i="1"/>
  <c r="AZ158" i="1" s="1"/>
  <c r="AY157" i="1"/>
  <c r="AY158" i="1" s="1"/>
  <c r="AX157" i="1"/>
  <c r="AX158" i="1" s="1"/>
  <c r="AW157" i="1"/>
  <c r="AV157" i="1"/>
  <c r="AV158" i="1" s="1"/>
  <c r="AU157" i="1"/>
  <c r="AU158" i="1" s="1"/>
  <c r="AT157" i="1"/>
  <c r="AT158" i="1" s="1"/>
  <c r="AS157" i="1"/>
  <c r="AS158" i="1" s="1"/>
  <c r="AR157" i="1"/>
  <c r="AP157" i="1"/>
  <c r="AP158" i="1" s="1"/>
  <c r="AO157" i="1"/>
  <c r="AO158" i="1" s="1"/>
  <c r="AN157" i="1"/>
  <c r="AN158" i="1" s="1"/>
  <c r="AM157" i="1"/>
  <c r="AM158" i="1" s="1"/>
  <c r="AL157" i="1"/>
  <c r="AL158" i="1" s="1"/>
  <c r="AK157" i="1"/>
  <c r="AK158" i="1" s="1"/>
  <c r="AJ157" i="1"/>
  <c r="AJ158" i="1" s="1"/>
  <c r="AI157" i="1"/>
  <c r="AI158" i="1" s="1"/>
  <c r="AH157" i="1"/>
  <c r="AH158" i="1" s="1"/>
  <c r="AG157" i="1"/>
  <c r="AG158" i="1" s="1"/>
  <c r="AF157" i="1"/>
  <c r="AF158" i="1" s="1"/>
  <c r="AE157" i="1"/>
  <c r="AE158" i="1" s="1"/>
  <c r="AC157" i="1"/>
  <c r="AC158" i="1" s="1"/>
  <c r="AB157" i="1"/>
  <c r="AB158" i="1" s="1"/>
  <c r="AA157" i="1"/>
  <c r="AA158" i="1" s="1"/>
  <c r="Z157" i="1"/>
  <c r="Z158" i="1" s="1"/>
  <c r="Y157" i="1"/>
  <c r="Y158" i="1" s="1"/>
  <c r="X157" i="1"/>
  <c r="X158" i="1" s="1"/>
  <c r="W157" i="1"/>
  <c r="W158" i="1" s="1"/>
  <c r="V157" i="1"/>
  <c r="V158" i="1" s="1"/>
  <c r="U157" i="1"/>
  <c r="U158" i="1" s="1"/>
  <c r="T157" i="1"/>
  <c r="T158" i="1" s="1"/>
  <c r="S157" i="1"/>
  <c r="S158" i="1" s="1"/>
  <c r="R157" i="1"/>
  <c r="R158" i="1" s="1"/>
  <c r="P157" i="1"/>
  <c r="P158" i="1" s="1"/>
  <c r="O157" i="1"/>
  <c r="O158" i="1" s="1"/>
  <c r="N157" i="1"/>
  <c r="N158" i="1" s="1"/>
  <c r="M157" i="1"/>
  <c r="M158" i="1" s="1"/>
  <c r="L157" i="1"/>
  <c r="L158" i="1" s="1"/>
  <c r="K157" i="1"/>
  <c r="K158" i="1" s="1"/>
  <c r="J157" i="1"/>
  <c r="J158" i="1" s="1"/>
  <c r="I157" i="1"/>
  <c r="I158" i="1" s="1"/>
  <c r="H157" i="1"/>
  <c r="H158" i="1" s="1"/>
  <c r="G157" i="1"/>
  <c r="G158" i="1" s="1"/>
  <c r="F157" i="1"/>
  <c r="F158" i="1" s="1"/>
  <c r="E157" i="1"/>
  <c r="BD156" i="1"/>
  <c r="AQ156" i="1"/>
  <c r="AD156" i="1"/>
  <c r="Q156" i="1"/>
  <c r="BD155" i="1"/>
  <c r="AQ155" i="1"/>
  <c r="AD155" i="1"/>
  <c r="Q155" i="1"/>
  <c r="BC151" i="1"/>
  <c r="BC152" i="1" s="1"/>
  <c r="BB151" i="1"/>
  <c r="BB152" i="1" s="1"/>
  <c r="BA151" i="1"/>
  <c r="BA152" i="1" s="1"/>
  <c r="AZ151" i="1"/>
  <c r="AZ152" i="1" s="1"/>
  <c r="AY151" i="1"/>
  <c r="AY152" i="1" s="1"/>
  <c r="AX151" i="1"/>
  <c r="AX152" i="1" s="1"/>
  <c r="AW151" i="1"/>
  <c r="AV151" i="1"/>
  <c r="AV152" i="1" s="1"/>
  <c r="AU151" i="1"/>
  <c r="AU152" i="1" s="1"/>
  <c r="AT151" i="1"/>
  <c r="AT152" i="1" s="1"/>
  <c r="AS151" i="1"/>
  <c r="AS152" i="1" s="1"/>
  <c r="AR151" i="1"/>
  <c r="AP151" i="1"/>
  <c r="AP152" i="1" s="1"/>
  <c r="AO151" i="1"/>
  <c r="AO152" i="1" s="1"/>
  <c r="AN151" i="1"/>
  <c r="AN152" i="1" s="1"/>
  <c r="AM151" i="1"/>
  <c r="AM152" i="1" s="1"/>
  <c r="AL151" i="1"/>
  <c r="AL152" i="1" s="1"/>
  <c r="AK151" i="1"/>
  <c r="AK152" i="1" s="1"/>
  <c r="AJ151" i="1"/>
  <c r="AJ152" i="1" s="1"/>
  <c r="AI151" i="1"/>
  <c r="AI152" i="1" s="1"/>
  <c r="AH151" i="1"/>
  <c r="AH152" i="1" s="1"/>
  <c r="AG151" i="1"/>
  <c r="AG152" i="1" s="1"/>
  <c r="AF151" i="1"/>
  <c r="AF152" i="1" s="1"/>
  <c r="AE151" i="1"/>
  <c r="AE152" i="1" s="1"/>
  <c r="AC151" i="1"/>
  <c r="AC152" i="1" s="1"/>
  <c r="AB151" i="1"/>
  <c r="AB152" i="1" s="1"/>
  <c r="AA151" i="1"/>
  <c r="AA152" i="1" s="1"/>
  <c r="Z151" i="1"/>
  <c r="Z152" i="1" s="1"/>
  <c r="Y151" i="1"/>
  <c r="Y152" i="1" s="1"/>
  <c r="X151" i="1"/>
  <c r="X152" i="1" s="1"/>
  <c r="W151" i="1"/>
  <c r="W152" i="1" s="1"/>
  <c r="V151" i="1"/>
  <c r="V152" i="1" s="1"/>
  <c r="U151" i="1"/>
  <c r="U152" i="1" s="1"/>
  <c r="T151" i="1"/>
  <c r="T152" i="1" s="1"/>
  <c r="S151" i="1"/>
  <c r="S152" i="1" s="1"/>
  <c r="R151" i="1"/>
  <c r="R152" i="1" s="1"/>
  <c r="P151" i="1"/>
  <c r="P152" i="1" s="1"/>
  <c r="O151" i="1"/>
  <c r="O152" i="1" s="1"/>
  <c r="N151" i="1"/>
  <c r="N152" i="1" s="1"/>
  <c r="M151" i="1"/>
  <c r="M152" i="1" s="1"/>
  <c r="L151" i="1"/>
  <c r="L152" i="1" s="1"/>
  <c r="K151" i="1"/>
  <c r="K152" i="1" s="1"/>
  <c r="J151" i="1"/>
  <c r="J152" i="1" s="1"/>
  <c r="I151" i="1"/>
  <c r="I152" i="1" s="1"/>
  <c r="H151" i="1"/>
  <c r="H152" i="1" s="1"/>
  <c r="G151" i="1"/>
  <c r="G152" i="1" s="1"/>
  <c r="F151" i="1"/>
  <c r="F152" i="1" s="1"/>
  <c r="E151" i="1"/>
  <c r="BD150" i="1"/>
  <c r="AQ150" i="1"/>
  <c r="AD150" i="1"/>
  <c r="Q150" i="1"/>
  <c r="BD149" i="1"/>
  <c r="AQ149" i="1"/>
  <c r="AD149" i="1"/>
  <c r="Q149" i="1"/>
  <c r="P146" i="1"/>
  <c r="O146" i="1"/>
  <c r="N146" i="1"/>
  <c r="M146" i="1"/>
  <c r="L146" i="1"/>
  <c r="K146" i="1"/>
  <c r="J145" i="1"/>
  <c r="J146" i="1" s="1"/>
  <c r="I145" i="1"/>
  <c r="I146" i="1" s="1"/>
  <c r="H145" i="1"/>
  <c r="G145" i="1"/>
  <c r="G146" i="1" s="1"/>
  <c r="F145" i="1"/>
  <c r="F146" i="1" s="1"/>
  <c r="E145" i="1"/>
  <c r="E146" i="1" s="1"/>
  <c r="Q144" i="1"/>
  <c r="Q143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C140" i="1"/>
  <c r="AB140" i="1"/>
  <c r="AA140" i="1"/>
  <c r="Z140" i="1"/>
  <c r="Y140" i="1"/>
  <c r="X140" i="1"/>
  <c r="W140" i="1"/>
  <c r="V140" i="1"/>
  <c r="I140" i="1"/>
  <c r="H140" i="1"/>
  <c r="G140" i="1"/>
  <c r="F140" i="1"/>
  <c r="E140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U139" i="1"/>
  <c r="U140" i="1" s="1"/>
  <c r="T139" i="1"/>
  <c r="T140" i="1" s="1"/>
  <c r="S139" i="1"/>
  <c r="S140" i="1" s="1"/>
  <c r="R139" i="1"/>
  <c r="R140" i="1" s="1"/>
  <c r="P139" i="1"/>
  <c r="P140" i="1" s="1"/>
  <c r="O139" i="1"/>
  <c r="O140" i="1" s="1"/>
  <c r="N139" i="1"/>
  <c r="N140" i="1" s="1"/>
  <c r="M139" i="1"/>
  <c r="M140" i="1" s="1"/>
  <c r="L139" i="1"/>
  <c r="L140" i="1" s="1"/>
  <c r="K139" i="1"/>
  <c r="K140" i="1" s="1"/>
  <c r="J139" i="1"/>
  <c r="J140" i="1" s="1"/>
  <c r="BD138" i="1"/>
  <c r="AQ138" i="1"/>
  <c r="AD138" i="1"/>
  <c r="Q138" i="1"/>
  <c r="AQ137" i="1"/>
  <c r="AR137" i="1" s="1"/>
  <c r="AD137" i="1"/>
  <c r="Q137" i="1"/>
  <c r="BC133" i="1"/>
  <c r="BC134" i="1" s="1"/>
  <c r="BB133" i="1"/>
  <c r="BB134" i="1" s="1"/>
  <c r="BA133" i="1"/>
  <c r="BA134" i="1" s="1"/>
  <c r="AZ133" i="1"/>
  <c r="AZ134" i="1" s="1"/>
  <c r="AY133" i="1"/>
  <c r="AY134" i="1" s="1"/>
  <c r="AX133" i="1"/>
  <c r="AX134" i="1" s="1"/>
  <c r="AW133" i="1"/>
  <c r="AV133" i="1"/>
  <c r="AV134" i="1" s="1"/>
  <c r="AU133" i="1"/>
  <c r="AU134" i="1" s="1"/>
  <c r="AT133" i="1"/>
  <c r="AT134" i="1" s="1"/>
  <c r="AS133" i="1"/>
  <c r="AS134" i="1" s="1"/>
  <c r="AR133" i="1"/>
  <c r="AP133" i="1"/>
  <c r="AP134" i="1" s="1"/>
  <c r="AO133" i="1"/>
  <c r="AO134" i="1" s="1"/>
  <c r="AN133" i="1"/>
  <c r="AN134" i="1" s="1"/>
  <c r="AM133" i="1"/>
  <c r="AM134" i="1" s="1"/>
  <c r="AL133" i="1"/>
  <c r="AL134" i="1" s="1"/>
  <c r="AK133" i="1"/>
  <c r="AK134" i="1" s="1"/>
  <c r="AJ133" i="1"/>
  <c r="AJ134" i="1" s="1"/>
  <c r="AI133" i="1"/>
  <c r="AI134" i="1" s="1"/>
  <c r="AH133" i="1"/>
  <c r="AH134" i="1" s="1"/>
  <c r="AG133" i="1"/>
  <c r="AG134" i="1" s="1"/>
  <c r="AF133" i="1"/>
  <c r="AF134" i="1" s="1"/>
  <c r="AE133" i="1"/>
  <c r="AE134" i="1" s="1"/>
  <c r="AC133" i="1"/>
  <c r="AC134" i="1" s="1"/>
  <c r="AB133" i="1"/>
  <c r="AB134" i="1" s="1"/>
  <c r="AA133" i="1"/>
  <c r="AA134" i="1" s="1"/>
  <c r="Z133" i="1"/>
  <c r="Z134" i="1" s="1"/>
  <c r="Y133" i="1"/>
  <c r="Y134" i="1" s="1"/>
  <c r="X133" i="1"/>
  <c r="X134" i="1" s="1"/>
  <c r="W133" i="1"/>
  <c r="W134" i="1" s="1"/>
  <c r="V133" i="1"/>
  <c r="V134" i="1" s="1"/>
  <c r="U133" i="1"/>
  <c r="U134" i="1" s="1"/>
  <c r="T133" i="1"/>
  <c r="T134" i="1" s="1"/>
  <c r="S133" i="1"/>
  <c r="S134" i="1" s="1"/>
  <c r="R133" i="1"/>
  <c r="R134" i="1" s="1"/>
  <c r="P133" i="1"/>
  <c r="P134" i="1" s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E133" i="1"/>
  <c r="E134" i="1" s="1"/>
  <c r="BD132" i="1"/>
  <c r="AQ132" i="1"/>
  <c r="AD132" i="1"/>
  <c r="Q132" i="1"/>
  <c r="BD131" i="1"/>
  <c r="AQ131" i="1"/>
  <c r="AD131" i="1"/>
  <c r="Q131" i="1"/>
  <c r="BC127" i="1"/>
  <c r="BC128" i="1" s="1"/>
  <c r="BB127" i="1"/>
  <c r="BB128" i="1" s="1"/>
  <c r="BA127" i="1"/>
  <c r="BA128" i="1" s="1"/>
  <c r="AZ127" i="1"/>
  <c r="AZ128" i="1" s="1"/>
  <c r="AY127" i="1"/>
  <c r="AY128" i="1" s="1"/>
  <c r="AX127" i="1"/>
  <c r="AX128" i="1" s="1"/>
  <c r="AW127" i="1"/>
  <c r="AV127" i="1"/>
  <c r="AV128" i="1" s="1"/>
  <c r="AU127" i="1"/>
  <c r="AU128" i="1" s="1"/>
  <c r="AT127" i="1"/>
  <c r="AT128" i="1" s="1"/>
  <c r="AS127" i="1"/>
  <c r="AS128" i="1" s="1"/>
  <c r="AR127" i="1"/>
  <c r="AP127" i="1"/>
  <c r="AP128" i="1" s="1"/>
  <c r="AO127" i="1"/>
  <c r="AO128" i="1" s="1"/>
  <c r="AN127" i="1"/>
  <c r="AN128" i="1" s="1"/>
  <c r="AM127" i="1"/>
  <c r="AM128" i="1" s="1"/>
  <c r="AL127" i="1"/>
  <c r="AL128" i="1" s="1"/>
  <c r="AK127" i="1"/>
  <c r="AK128" i="1" s="1"/>
  <c r="AJ127" i="1"/>
  <c r="AJ128" i="1" s="1"/>
  <c r="AI127" i="1"/>
  <c r="AI128" i="1" s="1"/>
  <c r="AH127" i="1"/>
  <c r="AH128" i="1" s="1"/>
  <c r="AG127" i="1"/>
  <c r="AG128" i="1" s="1"/>
  <c r="AF127" i="1"/>
  <c r="AF128" i="1" s="1"/>
  <c r="AE127" i="1"/>
  <c r="AE128" i="1" s="1"/>
  <c r="AC127" i="1"/>
  <c r="AC128" i="1" s="1"/>
  <c r="AB127" i="1"/>
  <c r="AB128" i="1" s="1"/>
  <c r="AA127" i="1"/>
  <c r="AA128" i="1" s="1"/>
  <c r="Z127" i="1"/>
  <c r="Z128" i="1" s="1"/>
  <c r="Y127" i="1"/>
  <c r="Y128" i="1" s="1"/>
  <c r="X127" i="1"/>
  <c r="X128" i="1" s="1"/>
  <c r="W127" i="1"/>
  <c r="W128" i="1" s="1"/>
  <c r="V127" i="1"/>
  <c r="V128" i="1" s="1"/>
  <c r="U127" i="1"/>
  <c r="U128" i="1" s="1"/>
  <c r="T127" i="1"/>
  <c r="T128" i="1" s="1"/>
  <c r="S127" i="1"/>
  <c r="S128" i="1" s="1"/>
  <c r="R127" i="1"/>
  <c r="P127" i="1"/>
  <c r="P128" i="1" s="1"/>
  <c r="O127" i="1"/>
  <c r="O128" i="1" s="1"/>
  <c r="N127" i="1"/>
  <c r="N128" i="1" s="1"/>
  <c r="M127" i="1"/>
  <c r="M128" i="1" s="1"/>
  <c r="L127" i="1"/>
  <c r="L128" i="1" s="1"/>
  <c r="K127" i="1"/>
  <c r="K128" i="1" s="1"/>
  <c r="J127" i="1"/>
  <c r="J128" i="1" s="1"/>
  <c r="I127" i="1"/>
  <c r="I128" i="1" s="1"/>
  <c r="H127" i="1"/>
  <c r="H128" i="1" s="1"/>
  <c r="G127" i="1"/>
  <c r="G128" i="1" s="1"/>
  <c r="F127" i="1"/>
  <c r="F128" i="1" s="1"/>
  <c r="E127" i="1"/>
  <c r="E128" i="1" s="1"/>
  <c r="BD126" i="1"/>
  <c r="AQ126" i="1"/>
  <c r="AD126" i="1"/>
  <c r="Q126" i="1"/>
  <c r="BD125" i="1"/>
  <c r="AQ125" i="1"/>
  <c r="AD125" i="1"/>
  <c r="Q125" i="1"/>
  <c r="BC121" i="1"/>
  <c r="BC122" i="1" s="1"/>
  <c r="BB121" i="1"/>
  <c r="BB122" i="1" s="1"/>
  <c r="BA121" i="1"/>
  <c r="BA122" i="1" s="1"/>
  <c r="AZ121" i="1"/>
  <c r="AZ122" i="1" s="1"/>
  <c r="AY121" i="1"/>
  <c r="AY122" i="1" s="1"/>
  <c r="AX121" i="1"/>
  <c r="AX122" i="1" s="1"/>
  <c r="AW121" i="1"/>
  <c r="AV121" i="1"/>
  <c r="AV122" i="1" s="1"/>
  <c r="AU121" i="1"/>
  <c r="AT121" i="1"/>
  <c r="AT122" i="1" s="1"/>
  <c r="AS121" i="1"/>
  <c r="AS122" i="1" s="1"/>
  <c r="AR121" i="1"/>
  <c r="AP121" i="1"/>
  <c r="AP122" i="1" s="1"/>
  <c r="AO121" i="1"/>
  <c r="AO122" i="1" s="1"/>
  <c r="AN121" i="1"/>
  <c r="AN122" i="1" s="1"/>
  <c r="AM121" i="1"/>
  <c r="AM122" i="1" s="1"/>
  <c r="AL121" i="1"/>
  <c r="AL122" i="1" s="1"/>
  <c r="AK121" i="1"/>
  <c r="AK122" i="1" s="1"/>
  <c r="AJ121" i="1"/>
  <c r="AJ122" i="1" s="1"/>
  <c r="AI121" i="1"/>
  <c r="AI122" i="1" s="1"/>
  <c r="AH121" i="1"/>
  <c r="AH122" i="1" s="1"/>
  <c r="AG121" i="1"/>
  <c r="AG122" i="1" s="1"/>
  <c r="AF121" i="1"/>
  <c r="AF122" i="1" s="1"/>
  <c r="AE121" i="1"/>
  <c r="AC121" i="1"/>
  <c r="AC122" i="1" s="1"/>
  <c r="AB121" i="1"/>
  <c r="AB122" i="1" s="1"/>
  <c r="AA121" i="1"/>
  <c r="AA122" i="1" s="1"/>
  <c r="Z121" i="1"/>
  <c r="Z122" i="1" s="1"/>
  <c r="Y121" i="1"/>
  <c r="Y122" i="1" s="1"/>
  <c r="X121" i="1"/>
  <c r="X122" i="1" s="1"/>
  <c r="W121" i="1"/>
  <c r="W122" i="1" s="1"/>
  <c r="V121" i="1"/>
  <c r="V122" i="1" s="1"/>
  <c r="U121" i="1"/>
  <c r="U122" i="1" s="1"/>
  <c r="T121" i="1"/>
  <c r="T122" i="1" s="1"/>
  <c r="S121" i="1"/>
  <c r="S122" i="1" s="1"/>
  <c r="R121" i="1"/>
  <c r="R122" i="1" s="1"/>
  <c r="P121" i="1"/>
  <c r="P122" i="1" s="1"/>
  <c r="O121" i="1"/>
  <c r="O122" i="1" s="1"/>
  <c r="N121" i="1"/>
  <c r="N122" i="1" s="1"/>
  <c r="M121" i="1"/>
  <c r="M122" i="1" s="1"/>
  <c r="L121" i="1"/>
  <c r="L122" i="1" s="1"/>
  <c r="K121" i="1"/>
  <c r="K122" i="1" s="1"/>
  <c r="J121" i="1"/>
  <c r="J122" i="1" s="1"/>
  <c r="I121" i="1"/>
  <c r="I122" i="1" s="1"/>
  <c r="H121" i="1"/>
  <c r="H122" i="1" s="1"/>
  <c r="G121" i="1"/>
  <c r="G122" i="1" s="1"/>
  <c r="F121" i="1"/>
  <c r="F122" i="1" s="1"/>
  <c r="E121" i="1"/>
  <c r="E122" i="1" s="1"/>
  <c r="BD120" i="1"/>
  <c r="AQ120" i="1"/>
  <c r="AD120" i="1"/>
  <c r="Q120" i="1"/>
  <c r="BD119" i="1"/>
  <c r="AQ119" i="1"/>
  <c r="AD119" i="1"/>
  <c r="Q119" i="1"/>
  <c r="BC116" i="1"/>
  <c r="BB116" i="1"/>
  <c r="BA116" i="1"/>
  <c r="AZ115" i="1"/>
  <c r="AZ116" i="1" s="1"/>
  <c r="AY115" i="1"/>
  <c r="AY116" i="1" s="1"/>
  <c r="AX115" i="1"/>
  <c r="AX116" i="1" s="1"/>
  <c r="AW115" i="1"/>
  <c r="AV115" i="1"/>
  <c r="AV116" i="1" s="1"/>
  <c r="AU115" i="1"/>
  <c r="AU116" i="1" s="1"/>
  <c r="AT115" i="1"/>
  <c r="AT116" i="1" s="1"/>
  <c r="AS115" i="1"/>
  <c r="AS116" i="1" s="1"/>
  <c r="AR115" i="1"/>
  <c r="AP115" i="1"/>
  <c r="AP116" i="1" s="1"/>
  <c r="AO115" i="1"/>
  <c r="AO116" i="1" s="1"/>
  <c r="AN115" i="1"/>
  <c r="AN116" i="1" s="1"/>
  <c r="AM115" i="1"/>
  <c r="AM116" i="1" s="1"/>
  <c r="AL115" i="1"/>
  <c r="AL116" i="1" s="1"/>
  <c r="AK115" i="1"/>
  <c r="AK116" i="1" s="1"/>
  <c r="AJ115" i="1"/>
  <c r="AJ116" i="1" s="1"/>
  <c r="AI115" i="1"/>
  <c r="AI116" i="1" s="1"/>
  <c r="AH115" i="1"/>
  <c r="AH116" i="1" s="1"/>
  <c r="AG115" i="1"/>
  <c r="AG116" i="1" s="1"/>
  <c r="AF115" i="1"/>
  <c r="AF116" i="1" s="1"/>
  <c r="AE115" i="1"/>
  <c r="AC115" i="1"/>
  <c r="AC116" i="1" s="1"/>
  <c r="AB115" i="1"/>
  <c r="AB116" i="1" s="1"/>
  <c r="AA115" i="1"/>
  <c r="AA116" i="1" s="1"/>
  <c r="Z115" i="1"/>
  <c r="Z116" i="1" s="1"/>
  <c r="Y115" i="1"/>
  <c r="Y116" i="1" s="1"/>
  <c r="X115" i="1"/>
  <c r="X116" i="1" s="1"/>
  <c r="W115" i="1"/>
  <c r="W116" i="1" s="1"/>
  <c r="V115" i="1"/>
  <c r="V116" i="1" s="1"/>
  <c r="U115" i="1"/>
  <c r="U116" i="1" s="1"/>
  <c r="T115" i="1"/>
  <c r="T116" i="1" s="1"/>
  <c r="S115" i="1"/>
  <c r="S116" i="1" s="1"/>
  <c r="R115" i="1"/>
  <c r="R116" i="1" s="1"/>
  <c r="P115" i="1"/>
  <c r="P116" i="1" s="1"/>
  <c r="O115" i="1"/>
  <c r="O116" i="1" s="1"/>
  <c r="N115" i="1"/>
  <c r="N116" i="1" s="1"/>
  <c r="M115" i="1"/>
  <c r="M116" i="1" s="1"/>
  <c r="L115" i="1"/>
  <c r="L116" i="1" s="1"/>
  <c r="K115" i="1"/>
  <c r="K116" i="1" s="1"/>
  <c r="J115" i="1"/>
  <c r="J116" i="1" s="1"/>
  <c r="I115" i="1"/>
  <c r="I116" i="1" s="1"/>
  <c r="H115" i="1"/>
  <c r="H116" i="1" s="1"/>
  <c r="G115" i="1"/>
  <c r="G116" i="1" s="1"/>
  <c r="F115" i="1"/>
  <c r="F116" i="1" s="1"/>
  <c r="E115" i="1"/>
  <c r="E116" i="1" s="1"/>
  <c r="BD114" i="1"/>
  <c r="AQ114" i="1"/>
  <c r="AD114" i="1"/>
  <c r="Q114" i="1"/>
  <c r="BD113" i="1"/>
  <c r="AQ113" i="1"/>
  <c r="AD113" i="1"/>
  <c r="Q113" i="1"/>
  <c r="AZ110" i="1"/>
  <c r="AY110" i="1"/>
  <c r="AP110" i="1"/>
  <c r="AO110" i="1"/>
  <c r="BC110" i="1"/>
  <c r="BB110" i="1"/>
  <c r="BA110" i="1"/>
  <c r="AX110" i="1"/>
  <c r="AW110" i="1"/>
  <c r="AV110" i="1"/>
  <c r="AU109" i="1"/>
  <c r="AU110" i="1" s="1"/>
  <c r="AT109" i="1"/>
  <c r="AT110" i="1" s="1"/>
  <c r="AS109" i="1"/>
  <c r="AS110" i="1" s="1"/>
  <c r="AR109" i="1"/>
  <c r="AN109" i="1"/>
  <c r="AN110" i="1" s="1"/>
  <c r="AM109" i="1"/>
  <c r="AM110" i="1" s="1"/>
  <c r="AL109" i="1"/>
  <c r="AL110" i="1" s="1"/>
  <c r="AK109" i="1"/>
  <c r="AK110" i="1" s="1"/>
  <c r="AJ109" i="1"/>
  <c r="AJ110" i="1" s="1"/>
  <c r="AI109" i="1"/>
  <c r="AI110" i="1" s="1"/>
  <c r="AH109" i="1"/>
  <c r="AH110" i="1" s="1"/>
  <c r="AG109" i="1"/>
  <c r="AG110" i="1" s="1"/>
  <c r="AF109" i="1"/>
  <c r="AF110" i="1" s="1"/>
  <c r="AE109" i="1"/>
  <c r="AE110" i="1" s="1"/>
  <c r="AC109" i="1"/>
  <c r="AC110" i="1" s="1"/>
  <c r="AB109" i="1"/>
  <c r="AB110" i="1" s="1"/>
  <c r="AA109" i="1"/>
  <c r="AA110" i="1" s="1"/>
  <c r="Z109" i="1"/>
  <c r="Z110" i="1" s="1"/>
  <c r="Y109" i="1"/>
  <c r="Y110" i="1" s="1"/>
  <c r="X109" i="1"/>
  <c r="X110" i="1" s="1"/>
  <c r="W109" i="1"/>
  <c r="W110" i="1" s="1"/>
  <c r="V109" i="1"/>
  <c r="V110" i="1" s="1"/>
  <c r="U109" i="1"/>
  <c r="U110" i="1" s="1"/>
  <c r="T109" i="1"/>
  <c r="T110" i="1" s="1"/>
  <c r="S109" i="1"/>
  <c r="S110" i="1" s="1"/>
  <c r="R109" i="1"/>
  <c r="R110" i="1" s="1"/>
  <c r="P109" i="1"/>
  <c r="P110" i="1" s="1"/>
  <c r="O109" i="1"/>
  <c r="O110" i="1" s="1"/>
  <c r="N109" i="1"/>
  <c r="N110" i="1" s="1"/>
  <c r="M109" i="1"/>
  <c r="M110" i="1" s="1"/>
  <c r="L109" i="1"/>
  <c r="L110" i="1" s="1"/>
  <c r="K109" i="1"/>
  <c r="K110" i="1" s="1"/>
  <c r="J109" i="1"/>
  <c r="J110" i="1" s="1"/>
  <c r="I109" i="1"/>
  <c r="I110" i="1" s="1"/>
  <c r="H109" i="1"/>
  <c r="H110" i="1" s="1"/>
  <c r="G109" i="1"/>
  <c r="G110" i="1" s="1"/>
  <c r="F109" i="1"/>
  <c r="F110" i="1" s="1"/>
  <c r="E109" i="1"/>
  <c r="E110" i="1" s="1"/>
  <c r="BD108" i="1"/>
  <c r="AQ108" i="1"/>
  <c r="AD108" i="1"/>
  <c r="Q108" i="1"/>
  <c r="BD107" i="1"/>
  <c r="AQ107" i="1"/>
  <c r="AD107" i="1"/>
  <c r="Q107" i="1"/>
  <c r="BC103" i="1"/>
  <c r="BC104" i="1" s="1"/>
  <c r="BB103" i="1"/>
  <c r="BB104" i="1" s="1"/>
  <c r="BA103" i="1"/>
  <c r="BA104" i="1" s="1"/>
  <c r="AZ103" i="1"/>
  <c r="AZ104" i="1" s="1"/>
  <c r="AY103" i="1"/>
  <c r="AY104" i="1" s="1"/>
  <c r="AX103" i="1"/>
  <c r="AX104" i="1" s="1"/>
  <c r="AW103" i="1"/>
  <c r="AV103" i="1"/>
  <c r="AV104" i="1" s="1"/>
  <c r="AU103" i="1"/>
  <c r="AU104" i="1" s="1"/>
  <c r="AT103" i="1"/>
  <c r="AT104" i="1" s="1"/>
  <c r="AS103" i="1"/>
  <c r="AS104" i="1" s="1"/>
  <c r="AR103" i="1"/>
  <c r="AP103" i="1"/>
  <c r="AP104" i="1" s="1"/>
  <c r="AO103" i="1"/>
  <c r="AO104" i="1" s="1"/>
  <c r="AN103" i="1"/>
  <c r="AN104" i="1" s="1"/>
  <c r="AM103" i="1"/>
  <c r="AM104" i="1" s="1"/>
  <c r="AL103" i="1"/>
  <c r="AL104" i="1" s="1"/>
  <c r="AK103" i="1"/>
  <c r="AK104" i="1" s="1"/>
  <c r="AJ103" i="1"/>
  <c r="AJ104" i="1" s="1"/>
  <c r="AI103" i="1"/>
  <c r="AI104" i="1" s="1"/>
  <c r="AH103" i="1"/>
  <c r="AH104" i="1" s="1"/>
  <c r="AG103" i="1"/>
  <c r="AG104" i="1" s="1"/>
  <c r="AF103" i="1"/>
  <c r="AF104" i="1" s="1"/>
  <c r="AE103" i="1"/>
  <c r="AE104" i="1" s="1"/>
  <c r="AC103" i="1"/>
  <c r="AC104" i="1" s="1"/>
  <c r="AB103" i="1"/>
  <c r="AB104" i="1" s="1"/>
  <c r="AA103" i="1"/>
  <c r="AA104" i="1" s="1"/>
  <c r="Z103" i="1"/>
  <c r="Z104" i="1" s="1"/>
  <c r="Y103" i="1"/>
  <c r="Y104" i="1" s="1"/>
  <c r="X103" i="1"/>
  <c r="X104" i="1" s="1"/>
  <c r="W103" i="1"/>
  <c r="W104" i="1" s="1"/>
  <c r="V103" i="1"/>
  <c r="V104" i="1" s="1"/>
  <c r="U103" i="1"/>
  <c r="U104" i="1" s="1"/>
  <c r="T103" i="1"/>
  <c r="T104" i="1" s="1"/>
  <c r="S103" i="1"/>
  <c r="S104" i="1" s="1"/>
  <c r="R103" i="1"/>
  <c r="P103" i="1"/>
  <c r="P104" i="1" s="1"/>
  <c r="O103" i="1"/>
  <c r="O104" i="1" s="1"/>
  <c r="N103" i="1"/>
  <c r="N104" i="1" s="1"/>
  <c r="M103" i="1"/>
  <c r="M104" i="1" s="1"/>
  <c r="L103" i="1"/>
  <c r="L104" i="1" s="1"/>
  <c r="K103" i="1"/>
  <c r="K104" i="1" s="1"/>
  <c r="J103" i="1"/>
  <c r="J104" i="1" s="1"/>
  <c r="I103" i="1"/>
  <c r="I104" i="1" s="1"/>
  <c r="H103" i="1"/>
  <c r="H104" i="1" s="1"/>
  <c r="G103" i="1"/>
  <c r="G104" i="1" s="1"/>
  <c r="F103" i="1"/>
  <c r="F104" i="1" s="1"/>
  <c r="E103" i="1"/>
  <c r="E104" i="1" s="1"/>
  <c r="BD102" i="1"/>
  <c r="AQ102" i="1"/>
  <c r="AD102" i="1"/>
  <c r="Q102" i="1"/>
  <c r="BD101" i="1"/>
  <c r="AQ101" i="1"/>
  <c r="AD101" i="1"/>
  <c r="Q101" i="1"/>
  <c r="AX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B98" i="1"/>
  <c r="AA98" i="1"/>
  <c r="Z98" i="1"/>
  <c r="Y98" i="1"/>
  <c r="X98" i="1"/>
  <c r="W98" i="1"/>
  <c r="V98" i="1"/>
  <c r="U98" i="1"/>
  <c r="T98" i="1"/>
  <c r="S98" i="1"/>
  <c r="R98" i="1"/>
  <c r="BC98" i="1"/>
  <c r="BB98" i="1"/>
  <c r="BA98" i="1"/>
  <c r="AZ98" i="1"/>
  <c r="AY98" i="1"/>
  <c r="AW98" i="1"/>
  <c r="AV98" i="1"/>
  <c r="AU98" i="1"/>
  <c r="AT97" i="1"/>
  <c r="AT98" i="1" s="1"/>
  <c r="AS97" i="1"/>
  <c r="AS98" i="1" s="1"/>
  <c r="AR97" i="1"/>
  <c r="AQ97" i="1"/>
  <c r="AC97" i="1"/>
  <c r="AD97" i="1" s="1"/>
  <c r="P97" i="1"/>
  <c r="P98" i="1" s="1"/>
  <c r="O97" i="1"/>
  <c r="O98" i="1" s="1"/>
  <c r="N97" i="1"/>
  <c r="N98" i="1" s="1"/>
  <c r="M97" i="1"/>
  <c r="M98" i="1" s="1"/>
  <c r="L97" i="1"/>
  <c r="L98" i="1" s="1"/>
  <c r="K97" i="1"/>
  <c r="K98" i="1" s="1"/>
  <c r="J97" i="1"/>
  <c r="J98" i="1" s="1"/>
  <c r="I97" i="1"/>
  <c r="I98" i="1" s="1"/>
  <c r="H97" i="1"/>
  <c r="H98" i="1" s="1"/>
  <c r="G97" i="1"/>
  <c r="G98" i="1" s="1"/>
  <c r="F97" i="1"/>
  <c r="F98" i="1" s="1"/>
  <c r="E97" i="1"/>
  <c r="E98" i="1" s="1"/>
  <c r="D97" i="1"/>
  <c r="D103" i="1" s="1"/>
  <c r="D109" i="1" s="1"/>
  <c r="D115" i="1" s="1"/>
  <c r="D121" i="1" s="1"/>
  <c r="BD96" i="1"/>
  <c r="AQ96" i="1"/>
  <c r="AD96" i="1"/>
  <c r="Q96" i="1"/>
  <c r="D96" i="1"/>
  <c r="D102" i="1" s="1"/>
  <c r="D108" i="1" s="1"/>
  <c r="D114" i="1" s="1"/>
  <c r="D120" i="1" s="1"/>
  <c r="BD95" i="1"/>
  <c r="AQ95" i="1"/>
  <c r="AD95" i="1"/>
  <c r="Q95" i="1"/>
  <c r="D95" i="1"/>
  <c r="D101" i="1" s="1"/>
  <c r="D107" i="1" s="1"/>
  <c r="D113" i="1" s="1"/>
  <c r="D119" i="1" s="1"/>
  <c r="BC92" i="1"/>
  <c r="BB92" i="1"/>
  <c r="BA92" i="1"/>
  <c r="AZ92" i="1"/>
  <c r="AY92" i="1"/>
  <c r="AX92" i="1"/>
  <c r="AV91" i="1"/>
  <c r="AV92" i="1" s="1"/>
  <c r="AU91" i="1"/>
  <c r="AU92" i="1" s="1"/>
  <c r="AT91" i="1"/>
  <c r="AT92" i="1" s="1"/>
  <c r="AS91" i="1"/>
  <c r="AS92" i="1" s="1"/>
  <c r="AR91" i="1"/>
  <c r="AP91" i="1"/>
  <c r="AP92" i="1" s="1"/>
  <c r="AO91" i="1"/>
  <c r="AO92" i="1" s="1"/>
  <c r="AN91" i="1"/>
  <c r="AN92" i="1" s="1"/>
  <c r="AM91" i="1"/>
  <c r="AM92" i="1" s="1"/>
  <c r="AL91" i="1"/>
  <c r="AL92" i="1" s="1"/>
  <c r="AK91" i="1"/>
  <c r="AK92" i="1" s="1"/>
  <c r="AJ91" i="1"/>
  <c r="AJ92" i="1" s="1"/>
  <c r="AI91" i="1"/>
  <c r="AI92" i="1" s="1"/>
  <c r="AH91" i="1"/>
  <c r="AH92" i="1" s="1"/>
  <c r="AG91" i="1"/>
  <c r="AG92" i="1" s="1"/>
  <c r="AF91" i="1"/>
  <c r="AF92" i="1" s="1"/>
  <c r="AE91" i="1"/>
  <c r="AE92" i="1" s="1"/>
  <c r="AC91" i="1"/>
  <c r="AC92" i="1" s="1"/>
  <c r="AB91" i="1"/>
  <c r="AB92" i="1" s="1"/>
  <c r="AA91" i="1"/>
  <c r="AA92" i="1" s="1"/>
  <c r="Z91" i="1"/>
  <c r="Z92" i="1" s="1"/>
  <c r="Y91" i="1"/>
  <c r="Y92" i="1" s="1"/>
  <c r="X91" i="1"/>
  <c r="X92" i="1" s="1"/>
  <c r="W91" i="1"/>
  <c r="W92" i="1" s="1"/>
  <c r="V91" i="1"/>
  <c r="V92" i="1" s="1"/>
  <c r="U91" i="1"/>
  <c r="U92" i="1" s="1"/>
  <c r="T91" i="1"/>
  <c r="T92" i="1" s="1"/>
  <c r="S91" i="1"/>
  <c r="S92" i="1" s="1"/>
  <c r="R91" i="1"/>
  <c r="R92" i="1" s="1"/>
  <c r="P91" i="1"/>
  <c r="P92" i="1" s="1"/>
  <c r="O91" i="1"/>
  <c r="O92" i="1" s="1"/>
  <c r="N91" i="1"/>
  <c r="N92" i="1" s="1"/>
  <c r="M91" i="1"/>
  <c r="M92" i="1" s="1"/>
  <c r="L91" i="1"/>
  <c r="L92" i="1" s="1"/>
  <c r="K91" i="1"/>
  <c r="K92" i="1" s="1"/>
  <c r="J91" i="1"/>
  <c r="J92" i="1" s="1"/>
  <c r="I91" i="1"/>
  <c r="I92" i="1" s="1"/>
  <c r="H91" i="1"/>
  <c r="H92" i="1" s="1"/>
  <c r="G91" i="1"/>
  <c r="G92" i="1" s="1"/>
  <c r="F91" i="1"/>
  <c r="F92" i="1" s="1"/>
  <c r="E91" i="1"/>
  <c r="E92" i="1" s="1"/>
  <c r="BD90" i="1"/>
  <c r="AQ90" i="1"/>
  <c r="AD90" i="1"/>
  <c r="Q90" i="1"/>
  <c r="BD89" i="1"/>
  <c r="AQ89" i="1"/>
  <c r="AD89" i="1"/>
  <c r="Q89" i="1"/>
  <c r="P86" i="1"/>
  <c r="O86" i="1"/>
  <c r="N86" i="1"/>
  <c r="M86" i="1"/>
  <c r="L86" i="1"/>
  <c r="K86" i="1"/>
  <c r="J86" i="1"/>
  <c r="I86" i="1"/>
  <c r="H86" i="1"/>
  <c r="G86" i="1"/>
  <c r="F86" i="1"/>
  <c r="E86" i="1"/>
  <c r="BC85" i="1"/>
  <c r="BC86" i="1" s="1"/>
  <c r="BB85" i="1"/>
  <c r="BB86" i="1" s="1"/>
  <c r="BA85" i="1"/>
  <c r="BA86" i="1" s="1"/>
  <c r="AZ85" i="1"/>
  <c r="AZ86" i="1" s="1"/>
  <c r="AY85" i="1"/>
  <c r="AY86" i="1" s="1"/>
  <c r="AX85" i="1"/>
  <c r="AX86" i="1" s="1"/>
  <c r="AW85" i="1"/>
  <c r="AV85" i="1"/>
  <c r="AV86" i="1" s="1"/>
  <c r="AU85" i="1"/>
  <c r="AU86" i="1" s="1"/>
  <c r="AT85" i="1"/>
  <c r="AT86" i="1" s="1"/>
  <c r="AS85" i="1"/>
  <c r="AS86" i="1" s="1"/>
  <c r="AR85" i="1"/>
  <c r="AP85" i="1"/>
  <c r="AP86" i="1" s="1"/>
  <c r="AO85" i="1"/>
  <c r="AO86" i="1" s="1"/>
  <c r="AN85" i="1"/>
  <c r="AN86" i="1" s="1"/>
  <c r="AM85" i="1"/>
  <c r="AM86" i="1" s="1"/>
  <c r="AL85" i="1"/>
  <c r="AL86" i="1" s="1"/>
  <c r="AK85" i="1"/>
  <c r="AK86" i="1" s="1"/>
  <c r="AJ85" i="1"/>
  <c r="AJ86" i="1" s="1"/>
  <c r="AI85" i="1"/>
  <c r="AI86" i="1" s="1"/>
  <c r="AH85" i="1"/>
  <c r="AH86" i="1" s="1"/>
  <c r="AG85" i="1"/>
  <c r="AG86" i="1" s="1"/>
  <c r="AF85" i="1"/>
  <c r="AF86" i="1" s="1"/>
  <c r="AE85" i="1"/>
  <c r="AC85" i="1"/>
  <c r="AC86" i="1" s="1"/>
  <c r="AB85" i="1"/>
  <c r="AB86" i="1" s="1"/>
  <c r="AA85" i="1"/>
  <c r="AA86" i="1" s="1"/>
  <c r="Z85" i="1"/>
  <c r="Z86" i="1" s="1"/>
  <c r="Y85" i="1"/>
  <c r="Y86" i="1" s="1"/>
  <c r="X85" i="1"/>
  <c r="X86" i="1" s="1"/>
  <c r="W85" i="1"/>
  <c r="W86" i="1" s="1"/>
  <c r="V85" i="1"/>
  <c r="V86" i="1" s="1"/>
  <c r="U85" i="1"/>
  <c r="U86" i="1" s="1"/>
  <c r="T85" i="1"/>
  <c r="T86" i="1" s="1"/>
  <c r="S85" i="1"/>
  <c r="S86" i="1" s="1"/>
  <c r="R85" i="1"/>
  <c r="R86" i="1" s="1"/>
  <c r="Q85" i="1"/>
  <c r="BD84" i="1"/>
  <c r="AQ84" i="1"/>
  <c r="AD84" i="1"/>
  <c r="Q84" i="1"/>
  <c r="BD83" i="1"/>
  <c r="AQ83" i="1"/>
  <c r="AD83" i="1"/>
  <c r="Q83" i="1"/>
  <c r="BC79" i="1"/>
  <c r="BC80" i="1" s="1"/>
  <c r="BB79" i="1"/>
  <c r="BB80" i="1" s="1"/>
  <c r="BA79" i="1"/>
  <c r="BA80" i="1" s="1"/>
  <c r="AZ79" i="1"/>
  <c r="AZ80" i="1" s="1"/>
  <c r="AY79" i="1"/>
  <c r="AY80" i="1" s="1"/>
  <c r="AX79" i="1"/>
  <c r="AX80" i="1" s="1"/>
  <c r="AW79" i="1"/>
  <c r="AV79" i="1"/>
  <c r="AV80" i="1" s="1"/>
  <c r="AU79" i="1"/>
  <c r="AU80" i="1" s="1"/>
  <c r="AT79" i="1"/>
  <c r="AT80" i="1" s="1"/>
  <c r="AS79" i="1"/>
  <c r="AS80" i="1" s="1"/>
  <c r="AR79" i="1"/>
  <c r="AP79" i="1"/>
  <c r="AP80" i="1" s="1"/>
  <c r="AO79" i="1"/>
  <c r="AO80" i="1" s="1"/>
  <c r="AN79" i="1"/>
  <c r="AN80" i="1" s="1"/>
  <c r="AM79" i="1"/>
  <c r="AM80" i="1" s="1"/>
  <c r="AL79" i="1"/>
  <c r="AL80" i="1" s="1"/>
  <c r="AK79" i="1"/>
  <c r="AK80" i="1" s="1"/>
  <c r="AJ79" i="1"/>
  <c r="AJ80" i="1" s="1"/>
  <c r="AI79" i="1"/>
  <c r="AI80" i="1" s="1"/>
  <c r="AH79" i="1"/>
  <c r="AH80" i="1" s="1"/>
  <c r="AG79" i="1"/>
  <c r="AG80" i="1" s="1"/>
  <c r="AF79" i="1"/>
  <c r="AE79" i="1"/>
  <c r="AE80" i="1" s="1"/>
  <c r="AC79" i="1"/>
  <c r="AC80" i="1" s="1"/>
  <c r="AB79" i="1"/>
  <c r="AB80" i="1" s="1"/>
  <c r="AA79" i="1"/>
  <c r="AA80" i="1" s="1"/>
  <c r="Z79" i="1"/>
  <c r="Z80" i="1" s="1"/>
  <c r="Y79" i="1"/>
  <c r="Y80" i="1" s="1"/>
  <c r="X79" i="1"/>
  <c r="X80" i="1" s="1"/>
  <c r="W79" i="1"/>
  <c r="W80" i="1" s="1"/>
  <c r="V79" i="1"/>
  <c r="V80" i="1" s="1"/>
  <c r="U79" i="1"/>
  <c r="U80" i="1" s="1"/>
  <c r="T79" i="1"/>
  <c r="T80" i="1" s="1"/>
  <c r="S79" i="1"/>
  <c r="S80" i="1" s="1"/>
  <c r="R79" i="1"/>
  <c r="P79" i="1"/>
  <c r="P80" i="1" s="1"/>
  <c r="O79" i="1"/>
  <c r="O80" i="1" s="1"/>
  <c r="N79" i="1"/>
  <c r="N80" i="1" s="1"/>
  <c r="M79" i="1"/>
  <c r="M80" i="1" s="1"/>
  <c r="L79" i="1"/>
  <c r="L80" i="1" s="1"/>
  <c r="K79" i="1"/>
  <c r="K80" i="1" s="1"/>
  <c r="J79" i="1"/>
  <c r="J80" i="1" s="1"/>
  <c r="I79" i="1"/>
  <c r="I80" i="1" s="1"/>
  <c r="H79" i="1"/>
  <c r="H80" i="1" s="1"/>
  <c r="G79" i="1"/>
  <c r="G80" i="1" s="1"/>
  <c r="F79" i="1"/>
  <c r="F80" i="1" s="1"/>
  <c r="E79" i="1"/>
  <c r="BD78" i="1"/>
  <c r="AQ78" i="1"/>
  <c r="AD78" i="1"/>
  <c r="Q78" i="1"/>
  <c r="BD77" i="1"/>
  <c r="AQ77" i="1"/>
  <c r="AD77" i="1"/>
  <c r="Q77" i="1"/>
  <c r="BC73" i="1"/>
  <c r="BC74" i="1" s="1"/>
  <c r="BB73" i="1"/>
  <c r="BB74" i="1" s="1"/>
  <c r="BA73" i="1"/>
  <c r="BA74" i="1" s="1"/>
  <c r="AZ73" i="1"/>
  <c r="AZ74" i="1" s="1"/>
  <c r="AY73" i="1"/>
  <c r="AY74" i="1" s="1"/>
  <c r="AX73" i="1"/>
  <c r="AX74" i="1" s="1"/>
  <c r="AW73" i="1"/>
  <c r="AV73" i="1"/>
  <c r="AV74" i="1" s="1"/>
  <c r="AU73" i="1"/>
  <c r="AU74" i="1" s="1"/>
  <c r="AT73" i="1"/>
  <c r="AT74" i="1" s="1"/>
  <c r="AS73" i="1"/>
  <c r="AS74" i="1" s="1"/>
  <c r="AR73" i="1"/>
  <c r="AP73" i="1"/>
  <c r="AP74" i="1" s="1"/>
  <c r="AO73" i="1"/>
  <c r="AO74" i="1" s="1"/>
  <c r="AN73" i="1"/>
  <c r="AN74" i="1" s="1"/>
  <c r="AM73" i="1"/>
  <c r="AM74" i="1" s="1"/>
  <c r="AL73" i="1"/>
  <c r="AL74" i="1" s="1"/>
  <c r="AK73" i="1"/>
  <c r="AK74" i="1" s="1"/>
  <c r="AJ73" i="1"/>
  <c r="AJ74" i="1" s="1"/>
  <c r="AI73" i="1"/>
  <c r="AI74" i="1" s="1"/>
  <c r="AH73" i="1"/>
  <c r="AH74" i="1" s="1"/>
  <c r="AG73" i="1"/>
  <c r="AG74" i="1" s="1"/>
  <c r="AF73" i="1"/>
  <c r="AF74" i="1" s="1"/>
  <c r="AE73" i="1"/>
  <c r="AE74" i="1" s="1"/>
  <c r="AC73" i="1"/>
  <c r="AC74" i="1" s="1"/>
  <c r="AB73" i="1"/>
  <c r="AB74" i="1" s="1"/>
  <c r="AA73" i="1"/>
  <c r="AA74" i="1" s="1"/>
  <c r="Z73" i="1"/>
  <c r="Z74" i="1" s="1"/>
  <c r="Y73" i="1"/>
  <c r="Y74" i="1" s="1"/>
  <c r="X73" i="1"/>
  <c r="X74" i="1" s="1"/>
  <c r="W73" i="1"/>
  <c r="W74" i="1" s="1"/>
  <c r="V73" i="1"/>
  <c r="V74" i="1" s="1"/>
  <c r="U73" i="1"/>
  <c r="U74" i="1" s="1"/>
  <c r="T73" i="1"/>
  <c r="T74" i="1" s="1"/>
  <c r="S73" i="1"/>
  <c r="S74" i="1" s="1"/>
  <c r="R73" i="1"/>
  <c r="P73" i="1"/>
  <c r="P74" i="1" s="1"/>
  <c r="O73" i="1"/>
  <c r="O74" i="1" s="1"/>
  <c r="N73" i="1"/>
  <c r="N74" i="1" s="1"/>
  <c r="M73" i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D73" i="1"/>
  <c r="BD72" i="1"/>
  <c r="AQ72" i="1"/>
  <c r="AD72" i="1"/>
  <c r="Q72" i="1"/>
  <c r="D72" i="1"/>
  <c r="BD71" i="1"/>
  <c r="AQ71" i="1"/>
  <c r="AD71" i="1"/>
  <c r="Q71" i="1"/>
  <c r="D71" i="1"/>
  <c r="BC67" i="1"/>
  <c r="BC68" i="1" s="1"/>
  <c r="BB67" i="1"/>
  <c r="BB68" i="1" s="1"/>
  <c r="BA68" i="1"/>
  <c r="AZ67" i="1"/>
  <c r="AZ68" i="1" s="1"/>
  <c r="AY67" i="1"/>
  <c r="AY68" i="1" s="1"/>
  <c r="AX67" i="1"/>
  <c r="AX68" i="1" s="1"/>
  <c r="AW67" i="1"/>
  <c r="AV67" i="1"/>
  <c r="AV68" i="1" s="1"/>
  <c r="AU67" i="1"/>
  <c r="AU68" i="1" s="1"/>
  <c r="AT67" i="1"/>
  <c r="AT68" i="1" s="1"/>
  <c r="AS67" i="1"/>
  <c r="AS68" i="1" s="1"/>
  <c r="AR67" i="1"/>
  <c r="AP67" i="1"/>
  <c r="AP68" i="1" s="1"/>
  <c r="AO67" i="1"/>
  <c r="AO68" i="1" s="1"/>
  <c r="AN67" i="1"/>
  <c r="AN68" i="1" s="1"/>
  <c r="AM67" i="1"/>
  <c r="AM68" i="1" s="1"/>
  <c r="AL67" i="1"/>
  <c r="AL68" i="1" s="1"/>
  <c r="AK67" i="1"/>
  <c r="AK68" i="1" s="1"/>
  <c r="AJ67" i="1"/>
  <c r="AJ68" i="1" s="1"/>
  <c r="AI67" i="1"/>
  <c r="AI68" i="1" s="1"/>
  <c r="AH67" i="1"/>
  <c r="AH68" i="1" s="1"/>
  <c r="AG67" i="1"/>
  <c r="AG68" i="1" s="1"/>
  <c r="AF67" i="1"/>
  <c r="AF68" i="1" s="1"/>
  <c r="AE67" i="1"/>
  <c r="AC67" i="1"/>
  <c r="AC68" i="1" s="1"/>
  <c r="AB67" i="1"/>
  <c r="AB68" i="1" s="1"/>
  <c r="AA67" i="1"/>
  <c r="AA68" i="1" s="1"/>
  <c r="Z67" i="1"/>
  <c r="Z68" i="1" s="1"/>
  <c r="Y67" i="1"/>
  <c r="Y68" i="1" s="1"/>
  <c r="X67" i="1"/>
  <c r="X68" i="1" s="1"/>
  <c r="W67" i="1"/>
  <c r="W68" i="1" s="1"/>
  <c r="V67" i="1"/>
  <c r="V68" i="1" s="1"/>
  <c r="U67" i="1"/>
  <c r="U68" i="1" s="1"/>
  <c r="T67" i="1"/>
  <c r="T68" i="1" s="1"/>
  <c r="S67" i="1"/>
  <c r="S68" i="1" s="1"/>
  <c r="R67" i="1"/>
  <c r="P67" i="1"/>
  <c r="P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G67" i="1"/>
  <c r="G68" i="1" s="1"/>
  <c r="F67" i="1"/>
  <c r="F68" i="1" s="1"/>
  <c r="E67" i="1"/>
  <c r="E68" i="1" s="1"/>
  <c r="BD66" i="1"/>
  <c r="AQ66" i="1"/>
  <c r="AD66" i="1"/>
  <c r="Q66" i="1"/>
  <c r="BD65" i="1"/>
  <c r="AQ65" i="1"/>
  <c r="AD65" i="1"/>
  <c r="Q65" i="1"/>
  <c r="AC62" i="1"/>
  <c r="AB61" i="1"/>
  <c r="AB62" i="1" s="1"/>
  <c r="AA61" i="1"/>
  <c r="AA62" i="1" s="1"/>
  <c r="Z61" i="1"/>
  <c r="Z62" i="1" s="1"/>
  <c r="Y61" i="1"/>
  <c r="Y62" i="1" s="1"/>
  <c r="X61" i="1"/>
  <c r="X62" i="1" s="1"/>
  <c r="W61" i="1"/>
  <c r="W62" i="1" s="1"/>
  <c r="V61" i="1"/>
  <c r="V62" i="1" s="1"/>
  <c r="U61" i="1"/>
  <c r="T61" i="1"/>
  <c r="T62" i="1" s="1"/>
  <c r="S61" i="1"/>
  <c r="S62" i="1" s="1"/>
  <c r="R61" i="1"/>
  <c r="R62" i="1" s="1"/>
  <c r="P61" i="1"/>
  <c r="P62" i="1" s="1"/>
  <c r="O61" i="1"/>
  <c r="O62" i="1" s="1"/>
  <c r="N61" i="1"/>
  <c r="N62" i="1" s="1"/>
  <c r="M61" i="1"/>
  <c r="M62" i="1" s="1"/>
  <c r="L61" i="1"/>
  <c r="L62" i="1" s="1"/>
  <c r="K61" i="1"/>
  <c r="K62" i="1" s="1"/>
  <c r="J61" i="1"/>
  <c r="J62" i="1" s="1"/>
  <c r="I61" i="1"/>
  <c r="I62" i="1" s="1"/>
  <c r="H61" i="1"/>
  <c r="H62" i="1" s="1"/>
  <c r="G61" i="1"/>
  <c r="G62" i="1" s="1"/>
  <c r="F61" i="1"/>
  <c r="F62" i="1" s="1"/>
  <c r="E61" i="1"/>
  <c r="E62" i="1" s="1"/>
  <c r="AD60" i="1"/>
  <c r="Q60" i="1"/>
  <c r="AD59" i="1"/>
  <c r="Q59" i="1"/>
  <c r="BC55" i="1"/>
  <c r="BC56" i="1" s="1"/>
  <c r="BB55" i="1"/>
  <c r="BB56" i="1" s="1"/>
  <c r="BA55" i="1"/>
  <c r="BA56" i="1" s="1"/>
  <c r="AZ55" i="1"/>
  <c r="AZ56" i="1" s="1"/>
  <c r="AY55" i="1"/>
  <c r="AY56" i="1" s="1"/>
  <c r="AX55" i="1"/>
  <c r="AX56" i="1" s="1"/>
  <c r="AW55" i="1"/>
  <c r="AV55" i="1"/>
  <c r="AV56" i="1" s="1"/>
  <c r="AU55" i="1"/>
  <c r="AT55" i="1"/>
  <c r="AT56" i="1" s="1"/>
  <c r="AS55" i="1"/>
  <c r="AS56" i="1" s="1"/>
  <c r="AR55" i="1"/>
  <c r="AP55" i="1"/>
  <c r="AP56" i="1" s="1"/>
  <c r="AO55" i="1"/>
  <c r="AO56" i="1" s="1"/>
  <c r="AN55" i="1"/>
  <c r="AN56" i="1" s="1"/>
  <c r="AM55" i="1"/>
  <c r="AM56" i="1" s="1"/>
  <c r="AL55" i="1"/>
  <c r="AL56" i="1" s="1"/>
  <c r="AK55" i="1"/>
  <c r="AK56" i="1" s="1"/>
  <c r="AJ55" i="1"/>
  <c r="AJ56" i="1" s="1"/>
  <c r="AI55" i="1"/>
  <c r="AI56" i="1" s="1"/>
  <c r="AH55" i="1"/>
  <c r="AH56" i="1" s="1"/>
  <c r="AG55" i="1"/>
  <c r="AG56" i="1" s="1"/>
  <c r="AF55" i="1"/>
  <c r="AF56" i="1" s="1"/>
  <c r="AE55" i="1"/>
  <c r="AC55" i="1"/>
  <c r="AC56" i="1" s="1"/>
  <c r="AB55" i="1"/>
  <c r="AB56" i="1" s="1"/>
  <c r="AA55" i="1"/>
  <c r="AA56" i="1" s="1"/>
  <c r="Z55" i="1"/>
  <c r="Z56" i="1" s="1"/>
  <c r="Y55" i="1"/>
  <c r="Y56" i="1" s="1"/>
  <c r="X55" i="1"/>
  <c r="X56" i="1" s="1"/>
  <c r="W55" i="1"/>
  <c r="W56" i="1" s="1"/>
  <c r="V55" i="1"/>
  <c r="V56" i="1" s="1"/>
  <c r="U55" i="1"/>
  <c r="U56" i="1" s="1"/>
  <c r="T55" i="1"/>
  <c r="T56" i="1" s="1"/>
  <c r="S55" i="1"/>
  <c r="S56" i="1" s="1"/>
  <c r="R55" i="1"/>
  <c r="P55" i="1"/>
  <c r="P56" i="1" s="1"/>
  <c r="O55" i="1"/>
  <c r="O56" i="1" s="1"/>
  <c r="N55" i="1"/>
  <c r="N56" i="1" s="1"/>
  <c r="M55" i="1"/>
  <c r="M56" i="1" s="1"/>
  <c r="L55" i="1"/>
  <c r="L56" i="1" s="1"/>
  <c r="K55" i="1"/>
  <c r="K56" i="1" s="1"/>
  <c r="J55" i="1"/>
  <c r="J56" i="1" s="1"/>
  <c r="I55" i="1"/>
  <c r="I56" i="1" s="1"/>
  <c r="H55" i="1"/>
  <c r="H56" i="1" s="1"/>
  <c r="G55" i="1"/>
  <c r="G56" i="1" s="1"/>
  <c r="F55" i="1"/>
  <c r="F56" i="1" s="1"/>
  <c r="E55" i="1"/>
  <c r="E56" i="1" s="1"/>
  <c r="BD54" i="1"/>
  <c r="AQ54" i="1"/>
  <c r="AD54" i="1"/>
  <c r="Q54" i="1"/>
  <c r="BD53" i="1"/>
  <c r="AQ53" i="1"/>
  <c r="AD53" i="1"/>
  <c r="Q53" i="1"/>
  <c r="BC49" i="1"/>
  <c r="BB49" i="1"/>
  <c r="BA49" i="1"/>
  <c r="AZ49" i="1"/>
  <c r="AY49" i="1"/>
  <c r="AY50" i="1" s="1"/>
  <c r="AX49" i="1"/>
  <c r="AX50" i="1" s="1"/>
  <c r="AW49" i="1"/>
  <c r="AV49" i="1"/>
  <c r="AV50" i="1" s="1"/>
  <c r="AU49" i="1"/>
  <c r="AU50" i="1" s="1"/>
  <c r="AT49" i="1"/>
  <c r="AT50" i="1" s="1"/>
  <c r="AS49" i="1"/>
  <c r="AS50" i="1" s="1"/>
  <c r="AR49" i="1"/>
  <c r="AP49" i="1"/>
  <c r="AP50" i="1" s="1"/>
  <c r="AO49" i="1"/>
  <c r="AO50" i="1" s="1"/>
  <c r="AN49" i="1"/>
  <c r="AN50" i="1" s="1"/>
  <c r="AM49" i="1"/>
  <c r="AM50" i="1" s="1"/>
  <c r="AL49" i="1"/>
  <c r="AL50" i="1" s="1"/>
  <c r="AK49" i="1"/>
  <c r="AK50" i="1" s="1"/>
  <c r="AJ49" i="1"/>
  <c r="AJ50" i="1" s="1"/>
  <c r="AI49" i="1"/>
  <c r="AH49" i="1"/>
  <c r="AH50" i="1" s="1"/>
  <c r="AG49" i="1"/>
  <c r="AG50" i="1" s="1"/>
  <c r="AF49" i="1"/>
  <c r="AF50" i="1" s="1"/>
  <c r="AE49" i="1"/>
  <c r="AE50" i="1" s="1"/>
  <c r="AC49" i="1"/>
  <c r="AC50" i="1" s="1"/>
  <c r="AB49" i="1"/>
  <c r="AB50" i="1" s="1"/>
  <c r="AA49" i="1"/>
  <c r="AA50" i="1" s="1"/>
  <c r="Z49" i="1"/>
  <c r="Z50" i="1" s="1"/>
  <c r="Y49" i="1"/>
  <c r="Y50" i="1" s="1"/>
  <c r="X49" i="1"/>
  <c r="X50" i="1" s="1"/>
  <c r="W49" i="1"/>
  <c r="W50" i="1" s="1"/>
  <c r="V49" i="1"/>
  <c r="V50" i="1" s="1"/>
  <c r="U49" i="1"/>
  <c r="U50" i="1" s="1"/>
  <c r="T49" i="1"/>
  <c r="T50" i="1" s="1"/>
  <c r="S49" i="1"/>
  <c r="S50" i="1" s="1"/>
  <c r="R49" i="1"/>
  <c r="R50" i="1" s="1"/>
  <c r="P49" i="1"/>
  <c r="P50" i="1" s="1"/>
  <c r="O49" i="1"/>
  <c r="O50" i="1" s="1"/>
  <c r="N49" i="1"/>
  <c r="N50" i="1" s="1"/>
  <c r="M49" i="1"/>
  <c r="M50" i="1" s="1"/>
  <c r="L49" i="1"/>
  <c r="L50" i="1" s="1"/>
  <c r="K49" i="1"/>
  <c r="K50" i="1" s="1"/>
  <c r="J49" i="1"/>
  <c r="J50" i="1" s="1"/>
  <c r="I49" i="1"/>
  <c r="I50" i="1" s="1"/>
  <c r="H49" i="1"/>
  <c r="H50" i="1" s="1"/>
  <c r="G49" i="1"/>
  <c r="G50" i="1" s="1"/>
  <c r="F49" i="1"/>
  <c r="F50" i="1" s="1"/>
  <c r="E49" i="1"/>
  <c r="E50" i="1" s="1"/>
  <c r="BD48" i="1"/>
  <c r="AQ48" i="1"/>
  <c r="AD48" i="1"/>
  <c r="Q48" i="1"/>
  <c r="BD47" i="1"/>
  <c r="AQ47" i="1"/>
  <c r="AD47" i="1"/>
  <c r="Q47" i="1"/>
  <c r="BC44" i="1"/>
  <c r="BB44" i="1"/>
  <c r="BA44" i="1"/>
  <c r="AZ44" i="1"/>
  <c r="AY43" i="1"/>
  <c r="AX43" i="1"/>
  <c r="AW43" i="1"/>
  <c r="AV43" i="1"/>
  <c r="AU43" i="1"/>
  <c r="AT43" i="1"/>
  <c r="AS43" i="1"/>
  <c r="AR43" i="1"/>
  <c r="AP43" i="1"/>
  <c r="AP44" i="1" s="1"/>
  <c r="AO43" i="1"/>
  <c r="AO44" i="1" s="1"/>
  <c r="AN43" i="1"/>
  <c r="AN44" i="1" s="1"/>
  <c r="AM43" i="1"/>
  <c r="AM44" i="1" s="1"/>
  <c r="AL43" i="1"/>
  <c r="AL44" i="1" s="1"/>
  <c r="AK43" i="1"/>
  <c r="AK44" i="1" s="1"/>
  <c r="AJ43" i="1"/>
  <c r="AJ44" i="1" s="1"/>
  <c r="AI43" i="1"/>
  <c r="AI44" i="1" s="1"/>
  <c r="AH43" i="1"/>
  <c r="AH44" i="1" s="1"/>
  <c r="AG43" i="1"/>
  <c r="AG44" i="1" s="1"/>
  <c r="AF43" i="1"/>
  <c r="AF44" i="1" s="1"/>
  <c r="AE43" i="1"/>
  <c r="AE44" i="1" s="1"/>
  <c r="AC43" i="1"/>
  <c r="AC44" i="1" s="1"/>
  <c r="AB43" i="1"/>
  <c r="AB44" i="1" s="1"/>
  <c r="AA43" i="1"/>
  <c r="AA44" i="1" s="1"/>
  <c r="Z43" i="1"/>
  <c r="Z44" i="1" s="1"/>
  <c r="Y43" i="1"/>
  <c r="Y44" i="1" s="1"/>
  <c r="X43" i="1"/>
  <c r="X44" i="1" s="1"/>
  <c r="W43" i="1"/>
  <c r="W44" i="1" s="1"/>
  <c r="V43" i="1"/>
  <c r="V44" i="1" s="1"/>
  <c r="U43" i="1"/>
  <c r="U44" i="1" s="1"/>
  <c r="T43" i="1"/>
  <c r="T44" i="1" s="1"/>
  <c r="S43" i="1"/>
  <c r="S44" i="1" s="1"/>
  <c r="R43" i="1"/>
  <c r="P43" i="1"/>
  <c r="P44" i="1" s="1"/>
  <c r="O43" i="1"/>
  <c r="O44" i="1" s="1"/>
  <c r="N43" i="1"/>
  <c r="N44" i="1" s="1"/>
  <c r="M43" i="1"/>
  <c r="M44" i="1" s="1"/>
  <c r="L43" i="1"/>
  <c r="L44" i="1" s="1"/>
  <c r="K43" i="1"/>
  <c r="K44" i="1" s="1"/>
  <c r="J43" i="1"/>
  <c r="J44" i="1" s="1"/>
  <c r="I43" i="1"/>
  <c r="I44" i="1" s="1"/>
  <c r="H43" i="1"/>
  <c r="H44" i="1" s="1"/>
  <c r="G43" i="1"/>
  <c r="G44" i="1" s="1"/>
  <c r="F43" i="1"/>
  <c r="F44" i="1" s="1"/>
  <c r="E43" i="1"/>
  <c r="E44" i="1" s="1"/>
  <c r="BD42" i="1"/>
  <c r="AQ42" i="1"/>
  <c r="AD42" i="1"/>
  <c r="Q42" i="1"/>
  <c r="BD41" i="1"/>
  <c r="AQ41" i="1"/>
  <c r="AD41" i="1"/>
  <c r="Q41" i="1"/>
  <c r="P38" i="1"/>
  <c r="O38" i="1"/>
  <c r="N38" i="1"/>
  <c r="M38" i="1"/>
  <c r="L38" i="1"/>
  <c r="K38" i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Q36" i="1"/>
  <c r="Q35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C32" i="1"/>
  <c r="AB32" i="1"/>
  <c r="AA32" i="1"/>
  <c r="Z32" i="1"/>
  <c r="Y32" i="1"/>
  <c r="X32" i="1"/>
  <c r="W32" i="1"/>
  <c r="V32" i="1"/>
  <c r="U32" i="1"/>
  <c r="T32" i="1"/>
  <c r="S32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BD31" i="1"/>
  <c r="AQ31" i="1"/>
  <c r="AD31" i="1"/>
  <c r="Q31" i="1"/>
  <c r="BD30" i="1"/>
  <c r="AQ30" i="1"/>
  <c r="AD30" i="1"/>
  <c r="Q30" i="1"/>
  <c r="BD29" i="1"/>
  <c r="AQ29" i="1"/>
  <c r="AD29" i="1"/>
  <c r="Q29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P26" i="1"/>
  <c r="O26" i="1"/>
  <c r="N26" i="1"/>
  <c r="M26" i="1"/>
  <c r="L26" i="1"/>
  <c r="K26" i="1"/>
  <c r="J26" i="1"/>
  <c r="I26" i="1"/>
  <c r="H26" i="1"/>
  <c r="G26" i="1"/>
  <c r="F26" i="1"/>
  <c r="E26" i="1"/>
  <c r="BD25" i="1"/>
  <c r="AP25" i="1"/>
  <c r="AP26" i="1" s="1"/>
  <c r="AO25" i="1"/>
  <c r="AO26" i="1" s="1"/>
  <c r="AN25" i="1"/>
  <c r="AN26" i="1" s="1"/>
  <c r="AM25" i="1"/>
  <c r="AM26" i="1" s="1"/>
  <c r="AL25" i="1"/>
  <c r="AL26" i="1" s="1"/>
  <c r="AK25" i="1"/>
  <c r="AK26" i="1" s="1"/>
  <c r="AJ25" i="1"/>
  <c r="AJ26" i="1" s="1"/>
  <c r="AI25" i="1"/>
  <c r="AI26" i="1" s="1"/>
  <c r="AH25" i="1"/>
  <c r="AH26" i="1" s="1"/>
  <c r="AG25" i="1"/>
  <c r="AG26" i="1" s="1"/>
  <c r="AF25" i="1"/>
  <c r="AF26" i="1" s="1"/>
  <c r="AE25" i="1"/>
  <c r="AC25" i="1"/>
  <c r="AC26" i="1" s="1"/>
  <c r="AB25" i="1"/>
  <c r="AB26" i="1" s="1"/>
  <c r="AA25" i="1"/>
  <c r="AA26" i="1" s="1"/>
  <c r="Z25" i="1"/>
  <c r="Z26" i="1" s="1"/>
  <c r="Y25" i="1"/>
  <c r="Y26" i="1" s="1"/>
  <c r="X25" i="1"/>
  <c r="X26" i="1" s="1"/>
  <c r="W25" i="1"/>
  <c r="W26" i="1" s="1"/>
  <c r="V25" i="1"/>
  <c r="V26" i="1" s="1"/>
  <c r="U25" i="1"/>
  <c r="U26" i="1" s="1"/>
  <c r="T25" i="1"/>
  <c r="T26" i="1" s="1"/>
  <c r="S25" i="1"/>
  <c r="S26" i="1" s="1"/>
  <c r="R25" i="1"/>
  <c r="R26" i="1" s="1"/>
  <c r="Q25" i="1"/>
  <c r="BD24" i="1"/>
  <c r="AQ24" i="1"/>
  <c r="AD24" i="1"/>
  <c r="Q24" i="1"/>
  <c r="BD23" i="1"/>
  <c r="AQ23" i="1"/>
  <c r="AD23" i="1"/>
  <c r="Q23" i="1"/>
  <c r="B22" i="1"/>
  <c r="B28" i="1" s="1"/>
  <c r="B40" i="1" s="1"/>
  <c r="B46" i="1" s="1"/>
  <c r="B52" i="1" s="1"/>
  <c r="B64" i="1" s="1"/>
  <c r="B70" i="1" s="1"/>
  <c r="B76" i="1" s="1"/>
  <c r="B82" i="1" s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D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AA20" i="1" s="1"/>
  <c r="Z19" i="1"/>
  <c r="Y19" i="1"/>
  <c r="X19" i="1"/>
  <c r="W19" i="1"/>
  <c r="V19" i="1"/>
  <c r="U19" i="1"/>
  <c r="T19" i="1"/>
  <c r="S19" i="1"/>
  <c r="S20" i="1" s="1"/>
  <c r="R19" i="1"/>
  <c r="P19" i="1"/>
  <c r="O19" i="1"/>
  <c r="O20" i="1" s="1"/>
  <c r="N19" i="1"/>
  <c r="N20" i="1" s="1"/>
  <c r="M19" i="1"/>
  <c r="M20" i="1" s="1"/>
  <c r="L19" i="1"/>
  <c r="L20" i="1" s="1"/>
  <c r="K19" i="1"/>
  <c r="K20" i="1" s="1"/>
  <c r="J19" i="1"/>
  <c r="J20" i="1" s="1"/>
  <c r="I19" i="1"/>
  <c r="I20" i="1" s="1"/>
  <c r="H19" i="1"/>
  <c r="H20" i="1" s="1"/>
  <c r="G19" i="1"/>
  <c r="G20" i="1" s="1"/>
  <c r="F19" i="1"/>
  <c r="F20" i="1" s="1"/>
  <c r="E19" i="1"/>
  <c r="E20" i="1" s="1"/>
  <c r="BD18" i="1"/>
  <c r="AQ18" i="1"/>
  <c r="AD18" i="1"/>
  <c r="Q18" i="1"/>
  <c r="BD17" i="1"/>
  <c r="AQ17" i="1"/>
  <c r="AD17" i="1"/>
  <c r="Q17" i="1"/>
  <c r="P14" i="1"/>
  <c r="O13" i="1"/>
  <c r="O14" i="1" s="1"/>
  <c r="N13" i="1"/>
  <c r="N14" i="1" s="1"/>
  <c r="M13" i="1"/>
  <c r="M14" i="1" s="1"/>
  <c r="L13" i="1"/>
  <c r="K13" i="1"/>
  <c r="K14" i="1" s="1"/>
  <c r="J13" i="1"/>
  <c r="J14" i="1" s="1"/>
  <c r="I13" i="1"/>
  <c r="I14" i="1" s="1"/>
  <c r="H13" i="1"/>
  <c r="H14" i="1" s="1"/>
  <c r="G13" i="1"/>
  <c r="G14" i="1" s="1"/>
  <c r="F13" i="1"/>
  <c r="F14" i="1" s="1"/>
  <c r="E13" i="1"/>
  <c r="E14" i="1" s="1"/>
  <c r="Q12" i="1"/>
  <c r="Q11" i="1"/>
  <c r="P8" i="1"/>
  <c r="O8" i="1"/>
  <c r="N8" i="1"/>
  <c r="M8" i="1"/>
  <c r="L8" i="1"/>
  <c r="K7" i="1"/>
  <c r="J7" i="1"/>
  <c r="I7" i="1"/>
  <c r="H7" i="1"/>
  <c r="G7" i="1"/>
  <c r="F7" i="1"/>
  <c r="E7" i="1"/>
  <c r="Q6" i="1"/>
  <c r="Q5" i="1"/>
  <c r="O252" i="5" l="1"/>
  <c r="L1025" i="5"/>
  <c r="M1025" i="5"/>
  <c r="K252" i="5"/>
  <c r="L1024" i="5"/>
  <c r="M1024" i="5"/>
  <c r="AX1027" i="1"/>
  <c r="AR1027" i="1"/>
  <c r="AY1027" i="1"/>
  <c r="AQ440" i="1"/>
  <c r="AZ1027" i="1"/>
  <c r="BA1027" i="1"/>
  <c r="BB1027" i="1"/>
  <c r="BC1027" i="1"/>
  <c r="B94" i="1"/>
  <c r="B100" i="1" s="1"/>
  <c r="B106" i="1" s="1"/>
  <c r="B112" i="1" s="1"/>
  <c r="B118" i="1" s="1"/>
  <c r="B124" i="1" s="1"/>
  <c r="B130" i="1" s="1"/>
  <c r="B136" i="1" s="1"/>
  <c r="B148" i="1" s="1"/>
  <c r="B154" i="1" s="1"/>
  <c r="B160" i="1" s="1"/>
  <c r="B172" i="1" s="1"/>
  <c r="B178" i="1" s="1"/>
  <c r="Q812" i="1"/>
  <c r="Q32" i="1"/>
  <c r="AD806" i="1"/>
  <c r="AD32" i="1"/>
  <c r="AD650" i="1"/>
  <c r="Q650" i="1"/>
  <c r="AQ710" i="1"/>
  <c r="AQ764" i="1"/>
  <c r="AD902" i="1"/>
  <c r="Q512" i="1"/>
  <c r="AD236" i="1"/>
  <c r="AD440" i="1"/>
  <c r="AD452" i="1"/>
  <c r="R842" i="1"/>
  <c r="AQ650" i="1"/>
  <c r="AD938" i="1"/>
  <c r="Q806" i="1"/>
  <c r="AQ818" i="1"/>
  <c r="Q452" i="1"/>
  <c r="AW68" i="1"/>
  <c r="AR482" i="1"/>
  <c r="AR560" i="1"/>
  <c r="AR578" i="1"/>
  <c r="AR644" i="1"/>
  <c r="AR650" i="1"/>
  <c r="AR830" i="1"/>
  <c r="AR248" i="1"/>
  <c r="AR254" i="1"/>
  <c r="AR416" i="1"/>
  <c r="AW422" i="1"/>
  <c r="AR770" i="1"/>
  <c r="AR794" i="1"/>
  <c r="AR812" i="1"/>
  <c r="AR938" i="1"/>
  <c r="AR176" i="1"/>
  <c r="AW200" i="1"/>
  <c r="AR284" i="1"/>
  <c r="AR290" i="1"/>
  <c r="AR314" i="1"/>
  <c r="AR524" i="1"/>
  <c r="AR614" i="1"/>
  <c r="AR866" i="1"/>
  <c r="AR920" i="1"/>
  <c r="AR92" i="1"/>
  <c r="AR260" i="1"/>
  <c r="AR374" i="1"/>
  <c r="AQ32" i="1"/>
  <c r="AR68" i="1"/>
  <c r="AR110" i="1"/>
  <c r="AR1025" i="1"/>
  <c r="AR152" i="1"/>
  <c r="AR182" i="1"/>
  <c r="AR188" i="1"/>
  <c r="AQ422" i="1"/>
  <c r="AR452" i="1"/>
  <c r="AW518" i="1"/>
  <c r="I590" i="1"/>
  <c r="AR626" i="1"/>
  <c r="AR632" i="1"/>
  <c r="AR674" i="1"/>
  <c r="AR764" i="1"/>
  <c r="AR788" i="1"/>
  <c r="AW806" i="1"/>
  <c r="AR824" i="1"/>
  <c r="P848" i="1"/>
  <c r="BD32" i="1"/>
  <c r="AW356" i="1"/>
  <c r="AR422" i="1"/>
  <c r="AR542" i="1"/>
  <c r="Q565" i="1"/>
  <c r="AR584" i="1"/>
  <c r="AQ602" i="1"/>
  <c r="AR638" i="1"/>
  <c r="AW728" i="1"/>
  <c r="AQ878" i="1"/>
  <c r="AR104" i="1"/>
  <c r="AR122" i="1"/>
  <c r="AR128" i="1"/>
  <c r="AR134" i="1"/>
  <c r="AR326" i="1"/>
  <c r="Q380" i="1"/>
  <c r="AR428" i="1"/>
  <c r="AW560" i="1"/>
  <c r="AW578" i="1"/>
  <c r="AR668" i="1"/>
  <c r="AR734" i="1"/>
  <c r="AR746" i="1"/>
  <c r="AR782" i="1"/>
  <c r="AR800" i="1"/>
  <c r="AR74" i="1"/>
  <c r="AR98" i="1"/>
  <c r="AR206" i="1"/>
  <c r="AR236" i="1"/>
  <c r="AW248" i="1"/>
  <c r="Q320" i="1"/>
  <c r="AR458" i="1"/>
  <c r="AR470" i="1"/>
  <c r="AD482" i="1"/>
  <c r="AR518" i="1"/>
  <c r="Q530" i="1"/>
  <c r="Q560" i="1"/>
  <c r="AR608" i="1"/>
  <c r="AR656" i="1"/>
  <c r="AR692" i="1"/>
  <c r="AR710" i="1"/>
  <c r="AR722" i="1"/>
  <c r="AR776" i="1"/>
  <c r="AR806" i="1"/>
  <c r="AR842" i="1"/>
  <c r="AR848" i="1"/>
  <c r="AR860" i="1"/>
  <c r="AW992" i="1"/>
  <c r="AR50" i="1"/>
  <c r="AR56" i="1"/>
  <c r="AR80" i="1"/>
  <c r="AR230" i="1"/>
  <c r="AW314" i="1"/>
  <c r="AD320" i="1"/>
  <c r="AR356" i="1"/>
  <c r="AR494" i="1"/>
  <c r="AR716" i="1"/>
  <c r="AR728" i="1"/>
  <c r="BD890" i="1"/>
  <c r="AR986" i="1"/>
  <c r="Q566" i="1"/>
  <c r="Q752" i="1"/>
  <c r="AE848" i="1"/>
  <c r="AD932" i="1"/>
  <c r="AQ55" i="1"/>
  <c r="AQ56" i="1" s="1"/>
  <c r="Q446" i="1"/>
  <c r="Q458" i="1"/>
  <c r="AD752" i="1"/>
  <c r="Q764" i="1"/>
  <c r="AQ794" i="1"/>
  <c r="AQ938" i="1"/>
  <c r="AQ974" i="1"/>
  <c r="AQ236" i="1"/>
  <c r="BD380" i="1"/>
  <c r="AD458" i="1"/>
  <c r="AD500" i="1"/>
  <c r="Q584" i="1"/>
  <c r="Q704" i="1"/>
  <c r="AQ752" i="1"/>
  <c r="AD368" i="1"/>
  <c r="AQ416" i="1"/>
  <c r="AQ434" i="1"/>
  <c r="AQ458" i="1"/>
  <c r="Q644" i="1"/>
  <c r="Q818" i="1"/>
  <c r="AQ902" i="1"/>
  <c r="AV1027" i="1"/>
  <c r="AQ313" i="1"/>
  <c r="AQ314" i="1" s="1"/>
  <c r="AQ512" i="1"/>
  <c r="Q626" i="1"/>
  <c r="AQ884" i="1"/>
  <c r="BD902" i="1"/>
  <c r="AR980" i="1"/>
  <c r="BD979" i="1"/>
  <c r="BD26" i="1"/>
  <c r="AU1027" i="1"/>
  <c r="AQ193" i="1"/>
  <c r="AQ194" i="1" s="1"/>
  <c r="Q199" i="1"/>
  <c r="Q344" i="1"/>
  <c r="AQ380" i="1"/>
  <c r="AQ452" i="1"/>
  <c r="AW662" i="1"/>
  <c r="AW734" i="1"/>
  <c r="AW764" i="1"/>
  <c r="AW824" i="1"/>
  <c r="AW854" i="1"/>
  <c r="AW872" i="1"/>
  <c r="Q476" i="1"/>
  <c r="AW746" i="1"/>
  <c r="AW830" i="1"/>
  <c r="AW920" i="1"/>
  <c r="AW938" i="1"/>
  <c r="AW980" i="1"/>
  <c r="AD518" i="1"/>
  <c r="G1027" i="1"/>
  <c r="Q139" i="1"/>
  <c r="Q140" i="1" s="1"/>
  <c r="Q163" i="1"/>
  <c r="Q164" i="1" s="1"/>
  <c r="Q332" i="1"/>
  <c r="AQ530" i="1"/>
  <c r="AW632" i="1"/>
  <c r="AW644" i="1"/>
  <c r="AW692" i="1"/>
  <c r="AW698" i="1"/>
  <c r="AW704" i="1"/>
  <c r="AD710" i="1"/>
  <c r="AW800" i="1"/>
  <c r="BD840" i="1"/>
  <c r="AW842" i="1"/>
  <c r="AW848" i="1"/>
  <c r="BD884" i="1"/>
  <c r="AD896" i="1"/>
  <c r="BD956" i="1"/>
  <c r="AD61" i="1"/>
  <c r="AD62" i="1" s="1"/>
  <c r="BD121" i="1"/>
  <c r="AQ446" i="1"/>
  <c r="Q488" i="1"/>
  <c r="Q518" i="1"/>
  <c r="Q632" i="1"/>
  <c r="AW674" i="1"/>
  <c r="AW782" i="1"/>
  <c r="AW788" i="1"/>
  <c r="AW812" i="1"/>
  <c r="AW860" i="1"/>
  <c r="AQ896" i="1"/>
  <c r="BD914" i="1"/>
  <c r="AW986" i="1"/>
  <c r="AW680" i="1"/>
  <c r="Q175" i="1"/>
  <c r="Q176" i="1" s="1"/>
  <c r="AQ332" i="1"/>
  <c r="BD434" i="1"/>
  <c r="BD440" i="1"/>
  <c r="BD446" i="1"/>
  <c r="Q470" i="1"/>
  <c r="AD512" i="1"/>
  <c r="Q608" i="1"/>
  <c r="Q638" i="1"/>
  <c r="AW638" i="1"/>
  <c r="AQ656" i="1"/>
  <c r="AW668" i="1"/>
  <c r="Q698" i="1"/>
  <c r="AW710" i="1"/>
  <c r="AW722" i="1"/>
  <c r="Q734" i="1"/>
  <c r="AD758" i="1"/>
  <c r="Q776" i="1"/>
  <c r="AW776" i="1"/>
  <c r="Q788" i="1"/>
  <c r="AW794" i="1"/>
  <c r="AD812" i="1"/>
  <c r="Q824" i="1"/>
  <c r="BD858" i="1"/>
  <c r="AW908" i="1"/>
  <c r="AW968" i="1"/>
  <c r="Q86" i="1"/>
  <c r="Q301" i="1"/>
  <c r="Q302" i="1" s="1"/>
  <c r="Q440" i="1"/>
  <c r="AD530" i="1"/>
  <c r="AW626" i="1"/>
  <c r="AW656" i="1"/>
  <c r="AQ758" i="1"/>
  <c r="AW770" i="1"/>
  <c r="Q782" i="1"/>
  <c r="AD818" i="1"/>
  <c r="AD834" i="1"/>
  <c r="AW866" i="1"/>
  <c r="AT1027" i="1"/>
  <c r="Q506" i="1"/>
  <c r="AW650" i="1"/>
  <c r="AW716" i="1"/>
  <c r="AW836" i="1"/>
  <c r="BD943" i="1"/>
  <c r="Q7" i="1"/>
  <c r="Q8" i="1" s="1"/>
  <c r="AE1027" i="1"/>
  <c r="Q13" i="1"/>
  <c r="Q14" i="1" s="1"/>
  <c r="W1027" i="1"/>
  <c r="AW1027" i="1"/>
  <c r="AW56" i="1"/>
  <c r="AD73" i="1"/>
  <c r="AD74" i="1" s="1"/>
  <c r="AQ25" i="1"/>
  <c r="AQ26" i="1" s="1"/>
  <c r="Q26" i="1"/>
  <c r="AD55" i="1"/>
  <c r="AD56" i="1" s="1"/>
  <c r="AQ67" i="1"/>
  <c r="AQ68" i="1" s="1"/>
  <c r="R74" i="1"/>
  <c r="AD79" i="1"/>
  <c r="AD80" i="1" s="1"/>
  <c r="AW284" i="1"/>
  <c r="AQ1025" i="1"/>
  <c r="BD20" i="1"/>
  <c r="AW50" i="1"/>
  <c r="AW194" i="1"/>
  <c r="AI1027" i="1"/>
  <c r="AD43" i="1"/>
  <c r="AD44" i="1" s="1"/>
  <c r="AQ49" i="1"/>
  <c r="AQ50" i="1" s="1"/>
  <c r="AZ50" i="1"/>
  <c r="BB50" i="1"/>
  <c r="AW188" i="1"/>
  <c r="Q200" i="1"/>
  <c r="E200" i="1"/>
  <c r="Q212" i="1"/>
  <c r="L1027" i="1"/>
  <c r="L14" i="1"/>
  <c r="BC50" i="1"/>
  <c r="BD55" i="1"/>
  <c r="R56" i="1"/>
  <c r="Q73" i="1"/>
  <c r="Q74" i="1" s="1"/>
  <c r="E74" i="1"/>
  <c r="AQ115" i="1"/>
  <c r="AQ116" i="1" s="1"/>
  <c r="AE116" i="1"/>
  <c r="AR218" i="1"/>
  <c r="BD217" i="1"/>
  <c r="BD218" i="1" s="1"/>
  <c r="AD67" i="1"/>
  <c r="AD68" i="1" s="1"/>
  <c r="AW74" i="1"/>
  <c r="Q79" i="1"/>
  <c r="Q80" i="1" s="1"/>
  <c r="AW134" i="1"/>
  <c r="AW152" i="1"/>
  <c r="AF194" i="1"/>
  <c r="AW80" i="1"/>
  <c r="AQ85" i="1"/>
  <c r="AQ86" i="1" s="1"/>
  <c r="E176" i="1"/>
  <c r="Q194" i="1"/>
  <c r="AW206" i="1"/>
  <c r="AG314" i="1"/>
  <c r="AM1027" i="1"/>
  <c r="AW86" i="1"/>
  <c r="AW104" i="1"/>
  <c r="AQ121" i="1"/>
  <c r="AQ122" i="1" s="1"/>
  <c r="AW164" i="1"/>
  <c r="AD181" i="1"/>
  <c r="AD182" i="1" s="1"/>
  <c r="T182" i="1"/>
  <c r="AQ217" i="1"/>
  <c r="AQ218" i="1" s="1"/>
  <c r="Q236" i="1"/>
  <c r="AW236" i="1"/>
  <c r="Q272" i="1"/>
  <c r="AD296" i="1"/>
  <c r="AW332" i="1"/>
  <c r="BD368" i="1"/>
  <c r="AW428" i="1"/>
  <c r="Q500" i="1"/>
  <c r="BD530" i="1"/>
  <c r="AW620" i="1"/>
  <c r="AC704" i="1"/>
  <c r="AD703" i="1"/>
  <c r="AD704" i="1" s="1"/>
  <c r="AW122" i="1"/>
  <c r="AW128" i="1"/>
  <c r="AD139" i="1"/>
  <c r="AD140" i="1" s="1"/>
  <c r="Q296" i="1"/>
  <c r="AD332" i="1"/>
  <c r="AD380" i="1"/>
  <c r="Q434" i="1"/>
  <c r="AQ482" i="1"/>
  <c r="AQ518" i="1"/>
  <c r="AW554" i="1"/>
  <c r="Q710" i="1"/>
  <c r="Q103" i="1"/>
  <c r="Q104" i="1" s="1"/>
  <c r="AD133" i="1"/>
  <c r="AD134" i="1" s="1"/>
  <c r="AW230" i="1"/>
  <c r="AW254" i="1"/>
  <c r="AW548" i="1"/>
  <c r="AW92" i="1"/>
  <c r="AW182" i="1"/>
  <c r="AQ187" i="1"/>
  <c r="AQ188" i="1" s="1"/>
  <c r="BD223" i="1"/>
  <c r="BD224" i="1" s="1"/>
  <c r="AD308" i="1"/>
  <c r="BD325" i="1"/>
  <c r="Q362" i="1"/>
  <c r="AQ368" i="1"/>
  <c r="Q409" i="1"/>
  <c r="Q410" i="1" s="1"/>
  <c r="Q416" i="1"/>
  <c r="AW416" i="1"/>
  <c r="Q422" i="1"/>
  <c r="AD446" i="1"/>
  <c r="AW470" i="1"/>
  <c r="Q482" i="1"/>
  <c r="AW482" i="1"/>
  <c r="AW524" i="1"/>
  <c r="Q554" i="1"/>
  <c r="BD721" i="1"/>
  <c r="BD722" i="1" s="1"/>
  <c r="BD799" i="1"/>
  <c r="BD800" i="1" s="1"/>
  <c r="AD878" i="1"/>
  <c r="AW224" i="1"/>
  <c r="Q247" i="1"/>
  <c r="Q248" i="1" s="1"/>
  <c r="AD283" i="1"/>
  <c r="AD284" i="1" s="1"/>
  <c r="AW290" i="1"/>
  <c r="AQ308" i="1"/>
  <c r="AD416" i="1"/>
  <c r="AW512" i="1"/>
  <c r="AD800" i="1"/>
  <c r="BD926" i="1"/>
  <c r="AQ98" i="1"/>
  <c r="AW116" i="1"/>
  <c r="Q242" i="1"/>
  <c r="AW494" i="1"/>
  <c r="AW158" i="1"/>
  <c r="BD181" i="1"/>
  <c r="BD205" i="1"/>
  <c r="AV206" i="1"/>
  <c r="AW260" i="1"/>
  <c r="Q308" i="1"/>
  <c r="Q326" i="1"/>
  <c r="AW326" i="1"/>
  <c r="E410" i="1"/>
  <c r="AD434" i="1"/>
  <c r="AW452" i="1"/>
  <c r="AW458" i="1"/>
  <c r="Q464" i="1"/>
  <c r="AW542" i="1"/>
  <c r="AW602" i="1"/>
  <c r="AD673" i="1"/>
  <c r="AD674" i="1" s="1"/>
  <c r="AD638" i="1"/>
  <c r="Q686" i="1"/>
  <c r="AD746" i="1"/>
  <c r="AD764" i="1"/>
  <c r="Q794" i="1"/>
  <c r="AQ806" i="1"/>
  <c r="AD824" i="1"/>
  <c r="AD920" i="1"/>
  <c r="AQ926" i="1"/>
  <c r="BC944" i="1"/>
  <c r="BD974" i="1"/>
  <c r="BC572" i="1"/>
  <c r="AD590" i="1"/>
  <c r="AW596" i="1"/>
  <c r="Q602" i="1"/>
  <c r="AW614" i="1"/>
  <c r="AQ638" i="1"/>
  <c r="AD656" i="1"/>
  <c r="AD686" i="1"/>
  <c r="AQ746" i="1"/>
  <c r="AD775" i="1"/>
  <c r="AD776" i="1" s="1"/>
  <c r="AD794" i="1"/>
  <c r="BD818" i="1"/>
  <c r="R836" i="1"/>
  <c r="P842" i="1"/>
  <c r="AD859" i="1"/>
  <c r="BD859" i="1"/>
  <c r="BD878" i="1"/>
  <c r="AD890" i="1"/>
  <c r="BD896" i="1"/>
  <c r="AQ950" i="1"/>
  <c r="AQ968" i="1"/>
  <c r="AQ986" i="1"/>
  <c r="AW566" i="1"/>
  <c r="Q668" i="1"/>
  <c r="E668" i="1"/>
  <c r="AD715" i="1"/>
  <c r="Q740" i="1"/>
  <c r="BD758" i="1"/>
  <c r="AQ823" i="1"/>
  <c r="AQ824" i="1" s="1"/>
  <c r="AF824" i="1"/>
  <c r="P1026" i="1"/>
  <c r="Q1026" i="1" s="1"/>
  <c r="AQ846" i="1"/>
  <c r="P854" i="1"/>
  <c r="AQ890" i="1"/>
  <c r="AD908" i="1"/>
  <c r="BD967" i="1"/>
  <c r="Q595" i="1"/>
  <c r="Q596" i="1" s="1"/>
  <c r="AD668" i="1"/>
  <c r="Q674" i="1"/>
  <c r="BD686" i="1"/>
  <c r="Q758" i="1"/>
  <c r="AD787" i="1"/>
  <c r="AD788" i="1" s="1"/>
  <c r="AQ800" i="1"/>
  <c r="AQ812" i="1"/>
  <c r="AD829" i="1"/>
  <c r="AD830" i="1" s="1"/>
  <c r="Q834" i="1"/>
  <c r="Q836" i="1" s="1"/>
  <c r="R854" i="1"/>
  <c r="AD865" i="1"/>
  <c r="AD866" i="1" s="1"/>
  <c r="AQ944" i="1"/>
  <c r="AW584" i="1"/>
  <c r="AW608" i="1"/>
  <c r="AQ668" i="1"/>
  <c r="AQ727" i="1"/>
  <c r="AQ728" i="1" s="1"/>
  <c r="AQ740" i="1"/>
  <c r="BD793" i="1"/>
  <c r="BD846" i="1"/>
  <c r="BD871" i="1"/>
  <c r="AD884" i="1"/>
  <c r="AQ914" i="1"/>
  <c r="AQ980" i="1"/>
  <c r="AQ590" i="1"/>
  <c r="AD602" i="1"/>
  <c r="AD740" i="1"/>
  <c r="Q842" i="1"/>
  <c r="AQ841" i="1"/>
  <c r="AD847" i="1"/>
  <c r="AE854" i="1"/>
  <c r="AQ932" i="1"/>
  <c r="AD1026" i="1"/>
  <c r="BD962" i="1"/>
  <c r="AA1028" i="1"/>
  <c r="BD79" i="1"/>
  <c r="AR86" i="1"/>
  <c r="BD85" i="1"/>
  <c r="BD86" i="1" s="1"/>
  <c r="AD109" i="1"/>
  <c r="AD110" i="1" s="1"/>
  <c r="H146" i="1"/>
  <c r="Q145" i="1"/>
  <c r="Q146" i="1" s="1"/>
  <c r="H1027" i="1"/>
  <c r="H8" i="1"/>
  <c r="P1027" i="1"/>
  <c r="X1027" i="1"/>
  <c r="AF1027" i="1"/>
  <c r="AN1027" i="1"/>
  <c r="P20" i="1"/>
  <c r="X20" i="1"/>
  <c r="X1028" i="1" s="1"/>
  <c r="AF20" i="1"/>
  <c r="AN20" i="1"/>
  <c r="AN1028" i="1" s="1"/>
  <c r="AE26" i="1"/>
  <c r="AQ43" i="1"/>
  <c r="AQ44" i="1" s="1"/>
  <c r="AY44" i="1"/>
  <c r="AD49" i="1"/>
  <c r="AD50" i="1" s="1"/>
  <c r="BD67" i="1"/>
  <c r="AE68" i="1"/>
  <c r="AQ73" i="1"/>
  <c r="AQ74" i="1" s="1"/>
  <c r="AQ79" i="1"/>
  <c r="AQ80" i="1" s="1"/>
  <c r="E80" i="1"/>
  <c r="AF80" i="1"/>
  <c r="AQ91" i="1"/>
  <c r="AQ92" i="1" s="1"/>
  <c r="AU122" i="1"/>
  <c r="AE176" i="1"/>
  <c r="AQ175" i="1"/>
  <c r="AQ176" i="1" s="1"/>
  <c r="BD175" i="1"/>
  <c r="BD176" i="1" s="1"/>
  <c r="R44" i="1"/>
  <c r="AX44" i="1"/>
  <c r="BD109" i="1"/>
  <c r="BD110" i="1" s="1"/>
  <c r="R128" i="1"/>
  <c r="AD127" i="1"/>
  <c r="AD128" i="1" s="1"/>
  <c r="I1027" i="1"/>
  <c r="I8" i="1"/>
  <c r="Q19" i="1"/>
  <c r="Q20" i="1" s="1"/>
  <c r="Y1027" i="1"/>
  <c r="AG1027" i="1"/>
  <c r="AO1027" i="1"/>
  <c r="Y20" i="1"/>
  <c r="Y1028" i="1" s="1"/>
  <c r="AG20" i="1"/>
  <c r="AO20" i="1"/>
  <c r="AO1028" i="1" s="1"/>
  <c r="BD43" i="1"/>
  <c r="AR44" i="1"/>
  <c r="AI50" i="1"/>
  <c r="AU56" i="1"/>
  <c r="Q61" i="1"/>
  <c r="Q62" i="1" s="1"/>
  <c r="Q67" i="1"/>
  <c r="Q68" i="1" s="1"/>
  <c r="R80" i="1"/>
  <c r="AR116" i="1"/>
  <c r="BD115" i="1"/>
  <c r="BD122" i="1"/>
  <c r="BD127" i="1"/>
  <c r="BD139" i="1"/>
  <c r="O1028" i="1"/>
  <c r="J1027" i="1"/>
  <c r="R1027" i="1"/>
  <c r="Z1027" i="1"/>
  <c r="AH1027" i="1"/>
  <c r="AP1027" i="1"/>
  <c r="R20" i="1"/>
  <c r="Z20" i="1"/>
  <c r="Z1028" i="1" s="1"/>
  <c r="AH20" i="1"/>
  <c r="AH1028" i="1" s="1"/>
  <c r="AP20" i="1"/>
  <c r="AP1028" i="1" s="1"/>
  <c r="AS1027" i="1"/>
  <c r="AS44" i="1"/>
  <c r="BD49" i="1"/>
  <c r="AD98" i="1"/>
  <c r="Q109" i="1"/>
  <c r="Q110" i="1" s="1"/>
  <c r="AQ109" i="1"/>
  <c r="AQ110" i="1" s="1"/>
  <c r="AG164" i="1"/>
  <c r="AQ163" i="1"/>
  <c r="AQ164" i="1" s="1"/>
  <c r="Q265" i="1"/>
  <c r="Q266" i="1" s="1"/>
  <c r="H266" i="1"/>
  <c r="F278" i="1"/>
  <c r="Q277" i="1"/>
  <c r="Q278" i="1" s="1"/>
  <c r="G8" i="1"/>
  <c r="J8" i="1"/>
  <c r="J1028" i="1" s="1"/>
  <c r="K1027" i="1"/>
  <c r="K8" i="1"/>
  <c r="AQ19" i="1"/>
  <c r="AQ20" i="1" s="1"/>
  <c r="AI20" i="1"/>
  <c r="Q37" i="1"/>
  <c r="Q38" i="1" s="1"/>
  <c r="BA50" i="1"/>
  <c r="AD91" i="1"/>
  <c r="AD92" i="1" s="1"/>
  <c r="Q97" i="1"/>
  <c r="Q98" i="1" s="1"/>
  <c r="Q133" i="1"/>
  <c r="Q134" i="1" s="1"/>
  <c r="AQ205" i="1"/>
  <c r="AQ206" i="1" s="1"/>
  <c r="S1027" i="1"/>
  <c r="AA1027" i="1"/>
  <c r="AT44" i="1"/>
  <c r="Q49" i="1"/>
  <c r="Q50" i="1" s="1"/>
  <c r="AE56" i="1"/>
  <c r="M1027" i="1"/>
  <c r="T1027" i="1"/>
  <c r="AB1027" i="1"/>
  <c r="AJ1027" i="1"/>
  <c r="T20" i="1"/>
  <c r="AB20" i="1"/>
  <c r="AJ20" i="1"/>
  <c r="AJ1028" i="1" s="1"/>
  <c r="AU44" i="1"/>
  <c r="Q55" i="1"/>
  <c r="Q56" i="1" s="1"/>
  <c r="U62" i="1"/>
  <c r="R68" i="1"/>
  <c r="AE122" i="1"/>
  <c r="E1027" i="1"/>
  <c r="E8" i="1"/>
  <c r="M1028" i="1"/>
  <c r="N1027" i="1"/>
  <c r="U1027" i="1"/>
  <c r="AC1027" i="1"/>
  <c r="AK1027" i="1"/>
  <c r="U20" i="1"/>
  <c r="AC20" i="1"/>
  <c r="AK20" i="1"/>
  <c r="AK1028" i="1" s="1"/>
  <c r="AV44" i="1"/>
  <c r="AE86" i="1"/>
  <c r="BD91" i="1"/>
  <c r="AC98" i="1"/>
  <c r="R104" i="1"/>
  <c r="AD103" i="1"/>
  <c r="AD104" i="1" s="1"/>
  <c r="AR140" i="1"/>
  <c r="AS137" i="1"/>
  <c r="W20" i="1"/>
  <c r="W1028" i="1" s="1"/>
  <c r="AE20" i="1"/>
  <c r="AM20" i="1"/>
  <c r="AM1028" i="1" s="1"/>
  <c r="AD25" i="1"/>
  <c r="AD26" i="1" s="1"/>
  <c r="F1027" i="1"/>
  <c r="F8" i="1"/>
  <c r="O1027" i="1"/>
  <c r="V1027" i="1"/>
  <c r="AD19" i="1"/>
  <c r="AD20" i="1" s="1"/>
  <c r="AL1027" i="1"/>
  <c r="V20" i="1"/>
  <c r="AL20" i="1"/>
  <c r="AL1028" i="1" s="1"/>
  <c r="Q43" i="1"/>
  <c r="Q44" i="1" s="1"/>
  <c r="AW44" i="1"/>
  <c r="Q115" i="1"/>
  <c r="Q116" i="1" s="1"/>
  <c r="AD85" i="1"/>
  <c r="AD86" i="1" s="1"/>
  <c r="BD97" i="1"/>
  <c r="AD115" i="1"/>
  <c r="AD116" i="1" s="1"/>
  <c r="Q127" i="1"/>
  <c r="Q128" i="1" s="1"/>
  <c r="BD133" i="1"/>
  <c r="AQ140" i="1"/>
  <c r="E164" i="1"/>
  <c r="R218" i="1"/>
  <c r="AD217" i="1"/>
  <c r="AD218" i="1" s="1"/>
  <c r="AQ127" i="1"/>
  <c r="AQ128" i="1" s="1"/>
  <c r="E158" i="1"/>
  <c r="Q157" i="1"/>
  <c r="Q158" i="1" s="1"/>
  <c r="AD157" i="1"/>
  <c r="AD158" i="1" s="1"/>
  <c r="R206" i="1"/>
  <c r="AD205" i="1"/>
  <c r="AD206" i="1" s="1"/>
  <c r="AQ259" i="1"/>
  <c r="AQ260" i="1" s="1"/>
  <c r="AQ133" i="1"/>
  <c r="AQ134" i="1" s="1"/>
  <c r="AQ151" i="1"/>
  <c r="AQ152" i="1" s="1"/>
  <c r="AR194" i="1"/>
  <c r="BD193" i="1"/>
  <c r="BD73" i="1"/>
  <c r="BD74" i="1" s="1"/>
  <c r="Q91" i="1"/>
  <c r="Q92" i="1" s="1"/>
  <c r="BD103" i="1"/>
  <c r="AD121" i="1"/>
  <c r="AD122" i="1" s="1"/>
  <c r="AR164" i="1"/>
  <c r="BD163" i="1"/>
  <c r="AB194" i="1"/>
  <c r="AD193" i="1"/>
  <c r="AD194" i="1" s="1"/>
  <c r="AQ229" i="1"/>
  <c r="AQ230" i="1" s="1"/>
  <c r="AD277" i="1"/>
  <c r="AD278" i="1" s="1"/>
  <c r="R278" i="1"/>
  <c r="BD283" i="1"/>
  <c r="Q169" i="1"/>
  <c r="Q170" i="1" s="1"/>
  <c r="AE182" i="1"/>
  <c r="AQ181" i="1"/>
  <c r="AQ182" i="1" s="1"/>
  <c r="AQ199" i="1"/>
  <c r="AQ200" i="1" s="1"/>
  <c r="E152" i="1"/>
  <c r="Q151" i="1"/>
  <c r="Q152" i="1" s="1"/>
  <c r="AD151" i="1"/>
  <c r="AD152" i="1" s="1"/>
  <c r="AR200" i="1"/>
  <c r="BD199" i="1"/>
  <c r="AE290" i="1"/>
  <c r="AQ289" i="1"/>
  <c r="AQ290" i="1" s="1"/>
  <c r="AQ103" i="1"/>
  <c r="AQ104" i="1" s="1"/>
  <c r="Q121" i="1"/>
  <c r="Q122" i="1" s="1"/>
  <c r="AR158" i="1"/>
  <c r="BD157" i="1"/>
  <c r="E188" i="1"/>
  <c r="Q187" i="1"/>
  <c r="Q188" i="1" s="1"/>
  <c r="AD187" i="1"/>
  <c r="AD188" i="1" s="1"/>
  <c r="Q217" i="1"/>
  <c r="Q218" i="1" s="1"/>
  <c r="E248" i="1"/>
  <c r="BD253" i="1"/>
  <c r="BD151" i="1"/>
  <c r="AD163" i="1"/>
  <c r="AD164" i="1" s="1"/>
  <c r="Q181" i="1"/>
  <c r="Q182" i="1" s="1"/>
  <c r="BD187" i="1"/>
  <c r="AD199" i="1"/>
  <c r="AD200" i="1" s="1"/>
  <c r="AS218" i="1"/>
  <c r="AD289" i="1"/>
  <c r="AD290" i="1" s="1"/>
  <c r="AQ157" i="1"/>
  <c r="AQ158" i="1" s="1"/>
  <c r="AD175" i="1"/>
  <c r="AD176" i="1" s="1"/>
  <c r="Q205" i="1"/>
  <c r="Q206" i="1" s="1"/>
  <c r="AD247" i="1"/>
  <c r="AD248" i="1" s="1"/>
  <c r="E302" i="1"/>
  <c r="BD373" i="1"/>
  <c r="BD374" i="1" s="1"/>
  <c r="BD427" i="1"/>
  <c r="AR548" i="1"/>
  <c r="BD547" i="1"/>
  <c r="AE596" i="1"/>
  <c r="AQ595" i="1"/>
  <c r="AQ596" i="1" s="1"/>
  <c r="AD223" i="1"/>
  <c r="AD224" i="1" s="1"/>
  <c r="BD235" i="1"/>
  <c r="AD253" i="1"/>
  <c r="AD254" i="1" s="1"/>
  <c r="AD325" i="1"/>
  <c r="AD326" i="1" s="1"/>
  <c r="AV326" i="1"/>
  <c r="AR332" i="1"/>
  <c r="BD331" i="1"/>
  <c r="Q337" i="1"/>
  <c r="Q338" i="1" s="1"/>
  <c r="AD362" i="1"/>
  <c r="AF374" i="1"/>
  <c r="AQ373" i="1"/>
  <c r="AQ374" i="1" s="1"/>
  <c r="AF428" i="1"/>
  <c r="AQ427" i="1"/>
  <c r="AQ428" i="1" s="1"/>
  <c r="BD451" i="1"/>
  <c r="BD452" i="1" s="1"/>
  <c r="AD229" i="1"/>
  <c r="AD230" i="1" s="1"/>
  <c r="BD247" i="1"/>
  <c r="AD259" i="1"/>
  <c r="AD260" i="1" s="1"/>
  <c r="AE578" i="1"/>
  <c r="AQ577" i="1"/>
  <c r="AQ578" i="1" s="1"/>
  <c r="E356" i="1"/>
  <c r="Q355" i="1"/>
  <c r="Q356" i="1" s="1"/>
  <c r="BD355" i="1"/>
  <c r="E386" i="1"/>
  <c r="Q385" i="1"/>
  <c r="Q386" i="1" s="1"/>
  <c r="P428" i="1"/>
  <c r="Q427" i="1"/>
  <c r="Q428" i="1" s="1"/>
  <c r="AE488" i="1"/>
  <c r="AQ487" i="1"/>
  <c r="AQ488" i="1" s="1"/>
  <c r="AD523" i="1"/>
  <c r="AD524" i="1" s="1"/>
  <c r="Q223" i="1"/>
  <c r="Q224" i="1" s="1"/>
  <c r="BD229" i="1"/>
  <c r="Q253" i="1"/>
  <c r="Q254" i="1" s="1"/>
  <c r="BD259" i="1"/>
  <c r="Q283" i="1"/>
  <c r="Q284" i="1" s="1"/>
  <c r="BD289" i="1"/>
  <c r="AD313" i="1"/>
  <c r="AD314" i="1" s="1"/>
  <c r="Q368" i="1"/>
  <c r="N524" i="1"/>
  <c r="N1028" i="1" s="1"/>
  <c r="Q523" i="1"/>
  <c r="Q524" i="1" s="1"/>
  <c r="AD571" i="1"/>
  <c r="AD572" i="1" s="1"/>
  <c r="Q229" i="1"/>
  <c r="Q230" i="1" s="1"/>
  <c r="AQ247" i="1"/>
  <c r="AQ248" i="1" s="1"/>
  <c r="Q259" i="1"/>
  <c r="Q260" i="1" s="1"/>
  <c r="Q289" i="1"/>
  <c r="Q290" i="1" s="1"/>
  <c r="BD307" i="1"/>
  <c r="BD308" i="1" s="1"/>
  <c r="E350" i="1"/>
  <c r="Q349" i="1"/>
  <c r="Q350" i="1" s="1"/>
  <c r="AD373" i="1"/>
  <c r="AD374" i="1" s="1"/>
  <c r="AD422" i="1"/>
  <c r="AD427" i="1"/>
  <c r="AD428" i="1" s="1"/>
  <c r="F572" i="1"/>
  <c r="Q571" i="1"/>
  <c r="Q572" i="1" s="1"/>
  <c r="AQ223" i="1"/>
  <c r="AQ224" i="1" s="1"/>
  <c r="AQ253" i="1"/>
  <c r="AQ254" i="1" s="1"/>
  <c r="AQ283" i="1"/>
  <c r="AQ284" i="1" s="1"/>
  <c r="BD313" i="1"/>
  <c r="AQ325" i="1"/>
  <c r="AQ326" i="1" s="1"/>
  <c r="Q391" i="1"/>
  <c r="Q392" i="1" s="1"/>
  <c r="Q493" i="1"/>
  <c r="Q494" i="1" s="1"/>
  <c r="AR512" i="1"/>
  <c r="BD511" i="1"/>
  <c r="BD512" i="1" s="1"/>
  <c r="Q313" i="1"/>
  <c r="Q314" i="1" s="1"/>
  <c r="R356" i="1"/>
  <c r="AD355" i="1"/>
  <c r="AD356" i="1" s="1"/>
  <c r="AD469" i="1"/>
  <c r="AD470" i="1" s="1"/>
  <c r="AE566" i="1"/>
  <c r="AQ565" i="1"/>
  <c r="AQ566" i="1" s="1"/>
  <c r="S374" i="1"/>
  <c r="E392" i="1"/>
  <c r="S428" i="1"/>
  <c r="BD481" i="1"/>
  <c r="AD487" i="1"/>
  <c r="AD488" i="1" s="1"/>
  <c r="BD493" i="1"/>
  <c r="AF542" i="1"/>
  <c r="AQ541" i="1"/>
  <c r="AQ542" i="1" s="1"/>
  <c r="Q547" i="1"/>
  <c r="Q548" i="1" s="1"/>
  <c r="AE608" i="1"/>
  <c r="AQ607" i="1"/>
  <c r="AQ608" i="1" s="1"/>
  <c r="AQ355" i="1"/>
  <c r="AQ356" i="1" s="1"/>
  <c r="Q373" i="1"/>
  <c r="Q374" i="1" s="1"/>
  <c r="Q397" i="1"/>
  <c r="Q398" i="1" s="1"/>
  <c r="BD517" i="1"/>
  <c r="R554" i="1"/>
  <c r="AD553" i="1"/>
  <c r="AD554" i="1" s="1"/>
  <c r="AR554" i="1"/>
  <c r="BD553" i="1"/>
  <c r="AD559" i="1"/>
  <c r="AD560" i="1" s="1"/>
  <c r="AC560" i="1"/>
  <c r="AQ583" i="1"/>
  <c r="AQ584" i="1" s="1"/>
  <c r="AS590" i="1"/>
  <c r="BD589" i="1"/>
  <c r="BD421" i="1"/>
  <c r="BD422" i="1" s="1"/>
  <c r="BD469" i="1"/>
  <c r="AQ493" i="1"/>
  <c r="AQ494" i="1" s="1"/>
  <c r="BD523" i="1"/>
  <c r="R542" i="1"/>
  <c r="AD541" i="1"/>
  <c r="AD542" i="1" s="1"/>
  <c r="BD559" i="1"/>
  <c r="G578" i="1"/>
  <c r="Q577" i="1"/>
  <c r="Q578" i="1" s="1"/>
  <c r="AR602" i="1"/>
  <c r="BD601" i="1"/>
  <c r="BD602" i="1" s="1"/>
  <c r="AD679" i="1"/>
  <c r="AD680" i="1" s="1"/>
  <c r="AF560" i="1"/>
  <c r="AQ559" i="1"/>
  <c r="AQ560" i="1" s="1"/>
  <c r="Q403" i="1"/>
  <c r="Q404" i="1" s="1"/>
  <c r="AE548" i="1"/>
  <c r="AQ547" i="1"/>
  <c r="AQ548" i="1" s="1"/>
  <c r="R566" i="1"/>
  <c r="AD565" i="1"/>
  <c r="AD566" i="1" s="1"/>
  <c r="AR566" i="1"/>
  <c r="BD565" i="1"/>
  <c r="BD566" i="1" s="1"/>
  <c r="R578" i="1"/>
  <c r="AD577" i="1"/>
  <c r="AD578" i="1" s="1"/>
  <c r="AC584" i="1"/>
  <c r="AD583" i="1"/>
  <c r="AD584" i="1" s="1"/>
  <c r="AR596" i="1"/>
  <c r="BD595" i="1"/>
  <c r="BD415" i="1"/>
  <c r="BD457" i="1"/>
  <c r="AQ469" i="1"/>
  <c r="AQ470" i="1" s="1"/>
  <c r="AD493" i="1"/>
  <c r="AD494" i="1" s="1"/>
  <c r="AQ523" i="1"/>
  <c r="AQ524" i="1" s="1"/>
  <c r="AE554" i="1"/>
  <c r="AQ553" i="1"/>
  <c r="AQ554" i="1" s="1"/>
  <c r="AQ571" i="1"/>
  <c r="AQ572" i="1" s="1"/>
  <c r="AS578" i="1"/>
  <c r="BD577" i="1"/>
  <c r="AD613" i="1"/>
  <c r="AD614" i="1" s="1"/>
  <c r="AD697" i="1"/>
  <c r="AD698" i="1" s="1"/>
  <c r="E542" i="1"/>
  <c r="Q541" i="1"/>
  <c r="Q542" i="1" s="1"/>
  <c r="BD541" i="1"/>
  <c r="BD583" i="1"/>
  <c r="BD584" i="1" s="1"/>
  <c r="F614" i="1"/>
  <c r="Q613" i="1"/>
  <c r="Q614" i="1" s="1"/>
  <c r="AD607" i="1"/>
  <c r="AD608" i="1" s="1"/>
  <c r="AD619" i="1"/>
  <c r="AD620" i="1" s="1"/>
  <c r="AD631" i="1"/>
  <c r="AD632" i="1" s="1"/>
  <c r="BD631" i="1"/>
  <c r="BD632" i="1" s="1"/>
  <c r="BD637" i="1"/>
  <c r="AQ673" i="1"/>
  <c r="AQ674" i="1" s="1"/>
  <c r="AE704" i="1"/>
  <c r="AQ703" i="1"/>
  <c r="AQ704" i="1" s="1"/>
  <c r="BD607" i="1"/>
  <c r="BD608" i="1" s="1"/>
  <c r="AQ625" i="1"/>
  <c r="AQ626" i="1" s="1"/>
  <c r="AD643" i="1"/>
  <c r="AD644" i="1" s="1"/>
  <c r="AD691" i="1"/>
  <c r="AD692" i="1" s="1"/>
  <c r="BD787" i="1"/>
  <c r="BD829" i="1"/>
  <c r="BD571" i="1"/>
  <c r="Q587" i="1"/>
  <c r="Q590" i="1" s="1"/>
  <c r="BD613" i="1"/>
  <c r="Q619" i="1"/>
  <c r="Q620" i="1" s="1"/>
  <c r="AQ631" i="1"/>
  <c r="AQ632" i="1" s="1"/>
  <c r="E656" i="1"/>
  <c r="Q655" i="1"/>
  <c r="Q656" i="1" s="1"/>
  <c r="AE662" i="1"/>
  <c r="AQ661" i="1"/>
  <c r="AQ662" i="1" s="1"/>
  <c r="BD643" i="1"/>
  <c r="BD644" i="1" s="1"/>
  <c r="Q679" i="1"/>
  <c r="Q680" i="1" s="1"/>
  <c r="AR704" i="1"/>
  <c r="BD703" i="1"/>
  <c r="BD704" i="1" s="1"/>
  <c r="R722" i="1"/>
  <c r="AD721" i="1"/>
  <c r="AD722" i="1" s="1"/>
  <c r="AD769" i="1"/>
  <c r="AD770" i="1" s="1"/>
  <c r="AE776" i="1"/>
  <c r="AQ775" i="1"/>
  <c r="AQ776" i="1" s="1"/>
  <c r="Q535" i="1"/>
  <c r="Q536" i="1" s="1"/>
  <c r="AR620" i="1"/>
  <c r="BD619" i="1"/>
  <c r="BD655" i="1"/>
  <c r="BD673" i="1"/>
  <c r="Q691" i="1"/>
  <c r="Q692" i="1" s="1"/>
  <c r="AD547" i="1"/>
  <c r="AD548" i="1" s="1"/>
  <c r="AD595" i="1"/>
  <c r="AD596" i="1" s="1"/>
  <c r="AQ613" i="1"/>
  <c r="AQ614" i="1" s="1"/>
  <c r="Q661" i="1"/>
  <c r="Q662" i="1" s="1"/>
  <c r="AR680" i="1"/>
  <c r="BD679" i="1"/>
  <c r="AR698" i="1"/>
  <c r="BD697" i="1"/>
  <c r="BD698" i="1" s="1"/>
  <c r="BD625" i="1"/>
  <c r="AQ643" i="1"/>
  <c r="AQ644" i="1" s="1"/>
  <c r="AR662" i="1"/>
  <c r="BD661" i="1"/>
  <c r="AQ691" i="1"/>
  <c r="AQ692" i="1" s="1"/>
  <c r="AE716" i="1"/>
  <c r="AQ715" i="1"/>
  <c r="AQ716" i="1" s="1"/>
  <c r="Q727" i="1"/>
  <c r="Q728" i="1" s="1"/>
  <c r="AF788" i="1"/>
  <c r="AQ787" i="1"/>
  <c r="AQ788" i="1" s="1"/>
  <c r="AD625" i="1"/>
  <c r="AD626" i="1" s="1"/>
  <c r="BD745" i="1"/>
  <c r="R782" i="1"/>
  <c r="AD781" i="1"/>
  <c r="AD782" i="1" s="1"/>
  <c r="AF830" i="1"/>
  <c r="AQ829" i="1"/>
  <c r="AQ830" i="1" s="1"/>
  <c r="AD716" i="1"/>
  <c r="AQ733" i="1"/>
  <c r="AQ734" i="1" s="1"/>
  <c r="AS980" i="1"/>
  <c r="BD980" i="1"/>
  <c r="P830" i="1"/>
  <c r="Q829" i="1"/>
  <c r="Q830" i="1" s="1"/>
  <c r="BD811" i="1"/>
  <c r="BD812" i="1" s="1"/>
  <c r="AQ619" i="1"/>
  <c r="AQ620" i="1" s="1"/>
  <c r="BD649" i="1"/>
  <c r="AD661" i="1"/>
  <c r="AD662" i="1" s="1"/>
  <c r="BD667" i="1"/>
  <c r="AQ679" i="1"/>
  <c r="AQ680" i="1" s="1"/>
  <c r="BD691" i="1"/>
  <c r="AQ697" i="1"/>
  <c r="AQ698" i="1" s="1"/>
  <c r="AD733" i="1"/>
  <c r="AD734" i="1" s="1"/>
  <c r="Q745" i="1"/>
  <c r="Q746" i="1" s="1"/>
  <c r="Q769" i="1"/>
  <c r="Q770" i="1" s="1"/>
  <c r="BD781" i="1"/>
  <c r="AS806" i="1"/>
  <c r="BD805" i="1"/>
  <c r="Q721" i="1"/>
  <c r="Q722" i="1" s="1"/>
  <c r="K746" i="1"/>
  <c r="BD763" i="1"/>
  <c r="BD764" i="1" s="1"/>
  <c r="Q799" i="1"/>
  <c r="Q800" i="1" s="1"/>
  <c r="AG836" i="1"/>
  <c r="AQ835" i="1"/>
  <c r="BD847" i="1"/>
  <c r="AR854" i="1"/>
  <c r="BD853" i="1"/>
  <c r="BD854" i="1" s="1"/>
  <c r="BD865" i="1"/>
  <c r="AD871" i="1"/>
  <c r="AD872" i="1" s="1"/>
  <c r="Q1025" i="1"/>
  <c r="BD715" i="1"/>
  <c r="AQ721" i="1"/>
  <c r="AQ722" i="1" s="1"/>
  <c r="AD727" i="1"/>
  <c r="AD728" i="1" s="1"/>
  <c r="BD775" i="1"/>
  <c r="BD776" i="1" s="1"/>
  <c r="AQ781" i="1"/>
  <c r="AQ782" i="1" s="1"/>
  <c r="BD835" i="1"/>
  <c r="AD841" i="1"/>
  <c r="BD841" i="1"/>
  <c r="AD846" i="1"/>
  <c r="R848" i="1"/>
  <c r="T854" i="1"/>
  <c r="AD853" i="1"/>
  <c r="R860" i="1"/>
  <c r="AD858" i="1"/>
  <c r="AD926" i="1"/>
  <c r="BD932" i="1"/>
  <c r="BD937" i="1"/>
  <c r="Q715" i="1"/>
  <c r="Q716" i="1" s="1"/>
  <c r="AV722" i="1"/>
  <c r="AI728" i="1"/>
  <c r="BD769" i="1"/>
  <c r="L770" i="1"/>
  <c r="AV782" i="1"/>
  <c r="AV800" i="1"/>
  <c r="BD823" i="1"/>
  <c r="BD824" i="1" s="1"/>
  <c r="V830" i="1"/>
  <c r="AQ859" i="1"/>
  <c r="AQ860" i="1" s="1"/>
  <c r="AQ907" i="1"/>
  <c r="AQ908" i="1" s="1"/>
  <c r="AU920" i="1"/>
  <c r="BD919" i="1"/>
  <c r="AQ962" i="1"/>
  <c r="AD1025" i="1"/>
  <c r="BD709" i="1"/>
  <c r="BD727" i="1"/>
  <c r="AQ847" i="1"/>
  <c r="Q854" i="1"/>
  <c r="AQ853" i="1"/>
  <c r="AQ854" i="1" s="1"/>
  <c r="AE1026" i="1"/>
  <c r="AQ834" i="1"/>
  <c r="AE836" i="1"/>
  <c r="AD835" i="1"/>
  <c r="AQ840" i="1"/>
  <c r="AQ842" i="1" s="1"/>
  <c r="AE842" i="1"/>
  <c r="AD854" i="1"/>
  <c r="Q860" i="1"/>
  <c r="AD914" i="1"/>
  <c r="AQ956" i="1"/>
  <c r="BD733" i="1"/>
  <c r="AQ769" i="1"/>
  <c r="AQ770" i="1" s="1"/>
  <c r="AR836" i="1"/>
  <c r="BD834" i="1"/>
  <c r="AR1026" i="1"/>
  <c r="BD1026" i="1" s="1"/>
  <c r="BA992" i="1"/>
  <c r="BD991" i="1"/>
  <c r="BD992" i="1" s="1"/>
  <c r="AQ865" i="1"/>
  <c r="AQ866" i="1" s="1"/>
  <c r="AR908" i="1"/>
  <c r="BD907" i="1"/>
  <c r="AT986" i="1"/>
  <c r="BD985" i="1"/>
  <c r="AE860" i="1"/>
  <c r="AQ871" i="1"/>
  <c r="AQ872" i="1" s="1"/>
  <c r="AR872" i="1"/>
  <c r="P860" i="1"/>
  <c r="AE908" i="1"/>
  <c r="P836" i="1"/>
  <c r="V872" i="1"/>
  <c r="AD840" i="1"/>
  <c r="Q846" i="1"/>
  <c r="Q848" i="1" s="1"/>
  <c r="AQ919" i="1"/>
  <c r="AQ920" i="1" s="1"/>
  <c r="AR968" i="1"/>
  <c r="L67" i="5" l="1"/>
  <c r="L68" i="5" s="1"/>
  <c r="K67" i="5"/>
  <c r="O67" i="5"/>
  <c r="O68" i="5" s="1"/>
  <c r="M67" i="5"/>
  <c r="M68" i="5" s="1"/>
  <c r="BD1027" i="1"/>
  <c r="O254" i="5"/>
  <c r="O1032" i="5"/>
  <c r="O1025" i="5"/>
  <c r="M254" i="5"/>
  <c r="U251" i="5"/>
  <c r="R251" i="5"/>
  <c r="K254" i="5"/>
  <c r="L254" i="5"/>
  <c r="K1025" i="5"/>
  <c r="U252" i="5"/>
  <c r="U1025" i="5" s="1"/>
  <c r="R252" i="5"/>
  <c r="R113" i="5"/>
  <c r="U113" i="5"/>
  <c r="K1024" i="5"/>
  <c r="O1024" i="5"/>
  <c r="O1031" i="5"/>
  <c r="AD836" i="1"/>
  <c r="BD860" i="1"/>
  <c r="B190" i="1"/>
  <c r="B196" i="1" s="1"/>
  <c r="B202" i="1" s="1"/>
  <c r="B214" i="1" s="1"/>
  <c r="B220" i="1" s="1"/>
  <c r="B226" i="1" s="1"/>
  <c r="B232" i="1" s="1"/>
  <c r="B244" i="1" s="1"/>
  <c r="B250" i="1" s="1"/>
  <c r="B256" i="1" s="1"/>
  <c r="B280" i="1" s="1"/>
  <c r="B286" i="1" s="1"/>
  <c r="B304" i="1" s="1"/>
  <c r="B310" i="1" s="1"/>
  <c r="B322" i="1" s="1"/>
  <c r="B328" i="1" s="1"/>
  <c r="B352" i="1" s="1"/>
  <c r="B364" i="1" s="1"/>
  <c r="B370" i="1" s="1"/>
  <c r="B376" i="1" s="1"/>
  <c r="B412" i="1" s="1"/>
  <c r="B418" i="1" s="1"/>
  <c r="B424" i="1" s="1"/>
  <c r="B430" i="1" s="1"/>
  <c r="L1028" i="1"/>
  <c r="AQ848" i="1"/>
  <c r="BD848" i="1"/>
  <c r="I1028" i="1"/>
  <c r="BD542" i="1"/>
  <c r="BD254" i="1"/>
  <c r="BD284" i="1"/>
  <c r="BD164" i="1"/>
  <c r="BD134" i="1"/>
  <c r="BD50" i="1"/>
  <c r="BD116" i="1"/>
  <c r="BD44" i="1"/>
  <c r="BD458" i="1"/>
  <c r="BD908" i="1"/>
  <c r="BD716" i="1"/>
  <c r="BD806" i="1"/>
  <c r="BD746" i="1"/>
  <c r="BD656" i="1"/>
  <c r="BD788" i="1"/>
  <c r="BD554" i="1"/>
  <c r="BD734" i="1"/>
  <c r="BD842" i="1"/>
  <c r="BD668" i="1"/>
  <c r="BD470" i="1"/>
  <c r="BD866" i="1"/>
  <c r="BD710" i="1"/>
  <c r="BD680" i="1"/>
  <c r="BD638" i="1"/>
  <c r="BD782" i="1"/>
  <c r="BD662" i="1"/>
  <c r="BD620" i="1"/>
  <c r="BD428" i="1"/>
  <c r="BD92" i="1"/>
  <c r="BD68" i="1"/>
  <c r="BD872" i="1"/>
  <c r="BD56" i="1"/>
  <c r="BD944" i="1"/>
  <c r="BD626" i="1"/>
  <c r="BD920" i="1"/>
  <c r="AD860" i="1"/>
  <c r="BD938" i="1"/>
  <c r="BD650" i="1"/>
  <c r="BD290" i="1"/>
  <c r="BD104" i="1"/>
  <c r="BD98" i="1"/>
  <c r="BD578" i="1"/>
  <c r="BD494" i="1"/>
  <c r="BD260" i="1"/>
  <c r="BD356" i="1"/>
  <c r="BD548" i="1"/>
  <c r="BD770" i="1"/>
  <c r="BD614" i="1"/>
  <c r="BD560" i="1"/>
  <c r="BD518" i="1"/>
  <c r="BD236" i="1"/>
  <c r="BD188" i="1"/>
  <c r="BD200" i="1"/>
  <c r="BD794" i="1"/>
  <c r="BD206" i="1"/>
  <c r="BD326" i="1"/>
  <c r="BD986" i="1"/>
  <c r="BD572" i="1"/>
  <c r="BD416" i="1"/>
  <c r="BD314" i="1"/>
  <c r="BD248" i="1"/>
  <c r="BD158" i="1"/>
  <c r="BD194" i="1"/>
  <c r="BD128" i="1"/>
  <c r="BD80" i="1"/>
  <c r="BD182" i="1"/>
  <c r="BD728" i="1"/>
  <c r="BD692" i="1"/>
  <c r="BD674" i="1"/>
  <c r="BD830" i="1"/>
  <c r="BD596" i="1"/>
  <c r="BD524" i="1"/>
  <c r="BD482" i="1"/>
  <c r="BD230" i="1"/>
  <c r="BD332" i="1"/>
  <c r="BD152" i="1"/>
  <c r="BD836" i="1"/>
  <c r="AR1028" i="1"/>
  <c r="S1028" i="1"/>
  <c r="BD590" i="1"/>
  <c r="BD968" i="1"/>
  <c r="AD848" i="1"/>
  <c r="AD842" i="1"/>
  <c r="AQ836" i="1"/>
  <c r="P1028" i="1"/>
  <c r="V1028" i="1"/>
  <c r="U1028" i="1"/>
  <c r="AE1028" i="1"/>
  <c r="G1028" i="1"/>
  <c r="F1028" i="1"/>
  <c r="E1028" i="1"/>
  <c r="AC1028" i="1"/>
  <c r="Q1027" i="1"/>
  <c r="AI1028" i="1"/>
  <c r="AD1027" i="1"/>
  <c r="AF1028" i="1"/>
  <c r="H1028" i="1"/>
  <c r="AS1025" i="1"/>
  <c r="AS140" i="1"/>
  <c r="AS1028" i="1" s="1"/>
  <c r="AQ1026" i="1"/>
  <c r="AQ1027" i="1"/>
  <c r="K1028" i="1"/>
  <c r="AG1028" i="1"/>
  <c r="AT137" i="1"/>
  <c r="AU137" i="1" s="1"/>
  <c r="AU1025" i="1" s="1"/>
  <c r="AB1028" i="1"/>
  <c r="T1028" i="1"/>
  <c r="R1028" i="1"/>
  <c r="U67" i="5" l="1"/>
  <c r="U68" i="5" s="1"/>
  <c r="K68" i="5"/>
  <c r="R67" i="5"/>
  <c r="R1025" i="5"/>
  <c r="V251" i="5"/>
  <c r="R253" i="5"/>
  <c r="R254" i="5" s="1"/>
  <c r="U253" i="5"/>
  <c r="V252" i="5"/>
  <c r="V1025" i="5"/>
  <c r="R1024" i="5"/>
  <c r="V113" i="5"/>
  <c r="U1024" i="5"/>
  <c r="L116" i="5"/>
  <c r="L1027" i="5" s="1"/>
  <c r="L1026" i="5"/>
  <c r="M116" i="5"/>
  <c r="M1027" i="5" s="1"/>
  <c r="M1026" i="5"/>
  <c r="K116" i="5"/>
  <c r="K1027" i="5" s="1"/>
  <c r="K1026" i="5"/>
  <c r="U115" i="5"/>
  <c r="R115" i="5"/>
  <c r="R116" i="5" s="1"/>
  <c r="O116" i="5"/>
  <c r="O1027" i="5" s="1"/>
  <c r="O1033" i="5"/>
  <c r="O1034" i="5" s="1"/>
  <c r="O1026" i="5"/>
  <c r="B436" i="1"/>
  <c r="B442" i="1"/>
  <c r="B448" i="1"/>
  <c r="B454" i="1" s="1"/>
  <c r="B466" i="1" s="1"/>
  <c r="B478" i="1" s="1"/>
  <c r="B490" i="1" s="1"/>
  <c r="B508" i="1" s="1"/>
  <c r="B514" i="1" s="1"/>
  <c r="B520" i="1" s="1"/>
  <c r="B526" i="1" s="1"/>
  <c r="B538" i="1" s="1"/>
  <c r="B544" i="1" s="1"/>
  <c r="B550" i="1" s="1"/>
  <c r="B556" i="1" s="1"/>
  <c r="B562" i="1" s="1"/>
  <c r="B568" i="1" s="1"/>
  <c r="B574" i="1" s="1"/>
  <c r="B580" i="1" s="1"/>
  <c r="B586" i="1" s="1"/>
  <c r="B592" i="1" s="1"/>
  <c r="B598" i="1" s="1"/>
  <c r="B604" i="1" s="1"/>
  <c r="B610" i="1" s="1"/>
  <c r="B616" i="1" s="1"/>
  <c r="B622" i="1" s="1"/>
  <c r="B628" i="1" s="1"/>
  <c r="B634" i="1" s="1"/>
  <c r="B640" i="1" s="1"/>
  <c r="B646" i="1" s="1"/>
  <c r="B652" i="1" s="1"/>
  <c r="B658" i="1" s="1"/>
  <c r="B664" i="1" s="1"/>
  <c r="B670" i="1" s="1"/>
  <c r="B676" i="1" s="1"/>
  <c r="B682" i="1" s="1"/>
  <c r="B688" i="1" s="1"/>
  <c r="B694" i="1" s="1"/>
  <c r="B700" i="1" s="1"/>
  <c r="B706" i="1" s="1"/>
  <c r="B712" i="1" s="1"/>
  <c r="B718" i="1" s="1"/>
  <c r="B724" i="1" s="1"/>
  <c r="B730" i="1" s="1"/>
  <c r="B742" i="1" s="1"/>
  <c r="B748" i="1" s="1"/>
  <c r="B754" i="1" s="1"/>
  <c r="B760" i="1" s="1"/>
  <c r="B766" i="1" s="1"/>
  <c r="B772" i="1" s="1"/>
  <c r="B778" i="1" s="1"/>
  <c r="B784" i="1" s="1"/>
  <c r="B790" i="1" s="1"/>
  <c r="B796" i="1" s="1"/>
  <c r="B802" i="1" s="1"/>
  <c r="B808" i="1" s="1"/>
  <c r="B814" i="1" s="1"/>
  <c r="B820" i="1" s="1"/>
  <c r="B826" i="1" s="1"/>
  <c r="B832" i="1" s="1"/>
  <c r="AT1025" i="1"/>
  <c r="AT140" i="1"/>
  <c r="AT1028" i="1" s="1"/>
  <c r="AV137" i="1"/>
  <c r="AV1025" i="1" s="1"/>
  <c r="Q1028" i="1"/>
  <c r="AQ1028" i="1"/>
  <c r="AD1028" i="1"/>
  <c r="AU140" i="1"/>
  <c r="AU1028" i="1" s="1"/>
  <c r="R1026" i="5" l="1"/>
  <c r="R1027" i="5" s="1"/>
  <c r="V67" i="5"/>
  <c r="R68" i="5"/>
  <c r="V68" i="5" s="1"/>
  <c r="V1024" i="5"/>
  <c r="U254" i="5"/>
  <c r="V254" i="5" s="1"/>
  <c r="V253" i="5"/>
  <c r="O1040" i="5"/>
  <c r="U116" i="5"/>
  <c r="U1026" i="5"/>
  <c r="V1026" i="5" s="1"/>
  <c r="V115" i="5"/>
  <c r="B844" i="1"/>
  <c r="B838" i="1"/>
  <c r="AW137" i="1"/>
  <c r="AV140" i="1"/>
  <c r="AV1028" i="1" s="1"/>
  <c r="U1027" i="5" l="1"/>
  <c r="V1027" i="5" s="1"/>
  <c r="V116" i="5"/>
  <c r="B856" i="1"/>
  <c r="B862" i="1" s="1"/>
  <c r="B868" i="1" s="1"/>
  <c r="B874" i="1" s="1"/>
  <c r="B850" i="1"/>
  <c r="AW140" i="1"/>
  <c r="AW1028" i="1" s="1"/>
  <c r="AX137" i="1"/>
  <c r="AX1025" i="1" s="1"/>
  <c r="AY137" i="1"/>
  <c r="AY1025" i="1" s="1"/>
  <c r="B886" i="1" l="1"/>
  <c r="B880" i="1"/>
  <c r="B892" i="1"/>
  <c r="B898" i="1" s="1"/>
  <c r="B904" i="1" s="1"/>
  <c r="B910" i="1" s="1"/>
  <c r="B916" i="1" s="1"/>
  <c r="B922" i="1" s="1"/>
  <c r="B928" i="1" s="1"/>
  <c r="B934" i="1" s="1"/>
  <c r="B940" i="1" s="1"/>
  <c r="B946" i="1" s="1"/>
  <c r="B952" i="1" s="1"/>
  <c r="AZ137" i="1"/>
  <c r="AZ1025" i="1" s="1"/>
  <c r="AX140" i="1"/>
  <c r="AX1028" i="1" s="1"/>
  <c r="AZ140" i="1"/>
  <c r="AZ1028" i="1" s="1"/>
  <c r="AY140" i="1"/>
  <c r="AY1028" i="1" s="1"/>
  <c r="BA137" i="1"/>
  <c r="BA1025" i="1" s="1"/>
  <c r="BA140" i="1" l="1"/>
  <c r="BA1028" i="1" s="1"/>
  <c r="BB137" i="1"/>
  <c r="BB1025" i="1" s="1"/>
  <c r="BC137" i="1"/>
  <c r="BC1025" i="1" l="1"/>
  <c r="BD1025" i="1" s="1"/>
  <c r="BD1028" i="1" s="1"/>
  <c r="BC140" i="1"/>
  <c r="BC1028" i="1" s="1"/>
  <c r="BD137" i="1"/>
  <c r="BB140" i="1"/>
  <c r="BB1028" i="1" s="1"/>
  <c r="BD1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R978" authorId="0" shapeId="0" xr:uid="{CDC1F324-EF8A-442E-996F-8DE5A5186FB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BD97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sharedStrings.xml><?xml version="1.0" encoding="utf-8"?>
<sst xmlns="http://schemas.openxmlformats.org/spreadsheetml/2006/main" count="2957" uniqueCount="936">
  <si>
    <t>CHARTER SCHOOL DEBT RESERVE, INTERCEPT AND TREASURY FEE PAYMENTS</t>
  </si>
  <si>
    <t>CRS 22-30.5-406 AND 22-30.5-407</t>
  </si>
  <si>
    <t>Total FY 22</t>
  </si>
  <si>
    <t>Total FY 23</t>
  </si>
  <si>
    <t>Total FY 24</t>
  </si>
  <si>
    <t>Total FY 25</t>
  </si>
  <si>
    <t>**</t>
  </si>
  <si>
    <t>Littleton Academy Charter School (#5229014007A)</t>
  </si>
  <si>
    <t>Debt Reserve</t>
  </si>
  <si>
    <t>Treasury Fee</t>
  </si>
  <si>
    <t>Intercept</t>
  </si>
  <si>
    <t>Total for Littleton Academy Charter School</t>
  </si>
  <si>
    <t>Belle Creek Charter School (#0700004008A)</t>
  </si>
  <si>
    <t>Total for Belle Creek Charter School</t>
  </si>
  <si>
    <t>x</t>
  </si>
  <si>
    <t>James Madison Charter Academy (#5033099008A)</t>
  </si>
  <si>
    <t>5033099008A</t>
  </si>
  <si>
    <t>Total for James Madison Charter Academy</t>
  </si>
  <si>
    <t>Community Leadership Academy (#1882003008A)</t>
  </si>
  <si>
    <t>1882003008A</t>
  </si>
  <si>
    <t>Total for Community Leadership Academy</t>
  </si>
  <si>
    <t>Colorado Springs Charter Academy (#1791999910A)</t>
  </si>
  <si>
    <t>1791999910A</t>
  </si>
  <si>
    <t>Total for Colorado Springs Charter Academy</t>
  </si>
  <si>
    <t>Global Village Academy (#3471018011A)</t>
  </si>
  <si>
    <t>3471018011A</t>
  </si>
  <si>
    <t>Total for Global Village Academy</t>
  </si>
  <si>
    <t>Twin Peaks Charter Academy (#8927047011A)</t>
  </si>
  <si>
    <t>8927047011A</t>
  </si>
  <si>
    <t>Total for Twin Peaks Charter Academy</t>
  </si>
  <si>
    <t>Cherry Creek Academy Inc. (#1571013012A)</t>
  </si>
  <si>
    <t>1571013012A</t>
  </si>
  <si>
    <t>Total for Cherry Creek Academy Inc.</t>
  </si>
  <si>
    <t>DCS Montessori Charter School (#5997090013A)</t>
  </si>
  <si>
    <t>5997090013A</t>
  </si>
  <si>
    <t>Total for DCS Montessori Charter School</t>
  </si>
  <si>
    <t>Mountain Phoenix Community School (#6139142013A)</t>
  </si>
  <si>
    <t>Total for Mountain Phoenix Community School</t>
  </si>
  <si>
    <t>Littleton Preparatory Charter School (#5233014013A)</t>
  </si>
  <si>
    <t>5233014013A</t>
  </si>
  <si>
    <t>Total for Littleton Preparatory Charter School</t>
  </si>
  <si>
    <t>Pinnacle Charter School (#0654800113A)</t>
  </si>
  <si>
    <t>0654800113A</t>
  </si>
  <si>
    <t>Total for Pinnacle Charter School</t>
  </si>
  <si>
    <t>Aurora Academy (#0458018013A)</t>
  </si>
  <si>
    <t>0458018013A</t>
  </si>
  <si>
    <t>Total for Aurora Academy</t>
  </si>
  <si>
    <t>Community Leadership Academy (#1882800114A)</t>
  </si>
  <si>
    <t>1882800114A</t>
  </si>
  <si>
    <t>Liberty Common School (#5120155014A)</t>
  </si>
  <si>
    <t>5120155014A</t>
  </si>
  <si>
    <t>Total for Liberty Common School</t>
  </si>
  <si>
    <t>Ridgeview Classical Schools (#0146155015A)</t>
  </si>
  <si>
    <t>0146155015A</t>
  </si>
  <si>
    <t>Total for Ridgeview Classical Schools</t>
  </si>
  <si>
    <t>Swallows Charter Academy (#8420270015A)</t>
  </si>
  <si>
    <t>8420270015A</t>
  </si>
  <si>
    <t>Total for Swallows Charter Academy</t>
  </si>
  <si>
    <t>Skyview Academy (#6365090015A)</t>
  </si>
  <si>
    <t>Total for Skyview Academy</t>
  </si>
  <si>
    <t>Peak to Peak (#6816048015A)</t>
  </si>
  <si>
    <t>6816048015A</t>
  </si>
  <si>
    <t>Total for Peak to Peak</t>
  </si>
  <si>
    <t>Twin Peaks Charter Academy (#8927047015A)</t>
  </si>
  <si>
    <t>8927047015A</t>
  </si>
  <si>
    <t>Classical Academy (#1627104015A)</t>
  </si>
  <si>
    <t>1627104015A</t>
  </si>
  <si>
    <t>Total for Classical Academy</t>
  </si>
  <si>
    <t>Independence Academy (#2128200015A)</t>
  </si>
  <si>
    <t>2128200015A</t>
  </si>
  <si>
    <t>Total for Independence Academy</t>
  </si>
  <si>
    <t>STEM School (#5259090015A)</t>
  </si>
  <si>
    <t>5259090015A</t>
  </si>
  <si>
    <t>Total for STEM School</t>
  </si>
  <si>
    <t>Global Village Academy (#3471018015A)</t>
  </si>
  <si>
    <t>3471018015A</t>
  </si>
  <si>
    <t>Monument Academy (#5093108015A)</t>
  </si>
  <si>
    <t>5093108015A</t>
  </si>
  <si>
    <t>Total for Monument Academy</t>
  </si>
  <si>
    <t>Classical Academy (#1627104015B)</t>
  </si>
  <si>
    <t>1627104015B</t>
  </si>
  <si>
    <t>University Laboratory School (#2850312015A)</t>
  </si>
  <si>
    <t>2850312015A</t>
  </si>
  <si>
    <t>Total for University Labortory School</t>
  </si>
  <si>
    <t>Atlas Prepatory School (#0469098015A)</t>
  </si>
  <si>
    <t>Total for Atlas Prepatory School</t>
  </si>
  <si>
    <t>Aspen Ridge School (#0071047015A)</t>
  </si>
  <si>
    <t>0071047015A</t>
  </si>
  <si>
    <t>Total for Aspen Ridge School</t>
  </si>
  <si>
    <t>Bromley East Charter School (#1052004016A)</t>
  </si>
  <si>
    <t>1052004016A</t>
  </si>
  <si>
    <t>Total for Bromley East Charter School</t>
  </si>
  <si>
    <t>Monarch Montessori (#5621088016A)</t>
  </si>
  <si>
    <t>5621088016A</t>
  </si>
  <si>
    <t>Total for Monarch Montessori</t>
  </si>
  <si>
    <t>Two Roads Charter School (#8793142016A)</t>
  </si>
  <si>
    <t>8793142016A</t>
  </si>
  <si>
    <t>Total for Two Roads Charter School</t>
  </si>
  <si>
    <t>Ben Franklin Academy (#0135090016A)</t>
  </si>
  <si>
    <t>0135090016A</t>
  </si>
  <si>
    <t>Total for Ben Franklin Academy</t>
  </si>
  <si>
    <t>Westgate Community School (#9431002016A)</t>
  </si>
  <si>
    <t>9431002016A</t>
  </si>
  <si>
    <t>Total for Westgate Community School</t>
  </si>
  <si>
    <t>Vanguard School (#1582102016A)</t>
  </si>
  <si>
    <t>1582102016A</t>
  </si>
  <si>
    <t>Total for Vanguard School</t>
  </si>
  <si>
    <t>Academy Charter School (#0011090016A)</t>
  </si>
  <si>
    <t>0011090016A</t>
  </si>
  <si>
    <t>Total for Academy Charter School</t>
  </si>
  <si>
    <t>Flagstaff Academy (#2964047016A)</t>
  </si>
  <si>
    <t>2964047016A</t>
  </si>
  <si>
    <t>Total for Flagstaff Academy</t>
  </si>
  <si>
    <t>Parker Core Knowledge (#1873090017A)</t>
  </si>
  <si>
    <t>1873090017A</t>
  </si>
  <si>
    <t>Total for Parker Core Knowledge</t>
  </si>
  <si>
    <t>Global Village Academy (#3471018017A)</t>
  </si>
  <si>
    <t>3471018017A</t>
  </si>
  <si>
    <t>Frontier Academy (#1875312017A)</t>
  </si>
  <si>
    <t>1875312017A</t>
  </si>
  <si>
    <t>Total for Frontier Academy</t>
  </si>
  <si>
    <t>Excel Academy (#2799142017A)</t>
  </si>
  <si>
    <t>2799142017A</t>
  </si>
  <si>
    <t>Total for Excel Academy</t>
  </si>
  <si>
    <t>Loveland Classical Schools (#5235156017A)</t>
  </si>
  <si>
    <t>5235156017A</t>
  </si>
  <si>
    <t>Total for Loveland Classical Schools</t>
  </si>
  <si>
    <t>Windsor Charter Academy (9665310017A)</t>
  </si>
  <si>
    <t>9665310017A</t>
  </si>
  <si>
    <t>Total for Windsor Charter Academy</t>
  </si>
  <si>
    <t>Banning Lewis Ranch Academy (0555111017A)</t>
  </si>
  <si>
    <t>0555111017A</t>
  </si>
  <si>
    <t>Total for Banning Lewis Ranch Academy</t>
  </si>
  <si>
    <t>Eagle Ridge Academy (2399004017A)</t>
  </si>
  <si>
    <t>2399004017A</t>
  </si>
  <si>
    <t>Total for Eagle Ridge Academy</t>
  </si>
  <si>
    <t>Platte River Academy (7047090017A)</t>
  </si>
  <si>
    <t>7047090017A</t>
  </si>
  <si>
    <t>Total for Platte River Academy</t>
  </si>
  <si>
    <t>North Star Academy (1579090017A)</t>
  </si>
  <si>
    <t>1579090017A</t>
  </si>
  <si>
    <t>Total for North Star Academy</t>
  </si>
  <si>
    <t>Renaissance Secondary School (7244090017A)</t>
  </si>
  <si>
    <t>7244090017A</t>
  </si>
  <si>
    <t>Total for Renaissance Secondary School</t>
  </si>
  <si>
    <t>Challenge to  Excellence (1512090017A)</t>
  </si>
  <si>
    <t>151290017A</t>
  </si>
  <si>
    <t>Total for Challenge to Excellence</t>
  </si>
  <si>
    <t>Early College of Arvada (2837800117A)</t>
  </si>
  <si>
    <t>2837800117A</t>
  </si>
  <si>
    <t>Total for Early College of Arvada</t>
  </si>
  <si>
    <t>World Compass Academy (9397090018A)</t>
  </si>
  <si>
    <t>9397090018A</t>
  </si>
  <si>
    <t>Total for World Compass Academy</t>
  </si>
  <si>
    <t>Carbon Valley Academy (1284047018A)</t>
  </si>
  <si>
    <t>1284047018A</t>
  </si>
  <si>
    <t>Total for Carbon Valley Academy</t>
  </si>
  <si>
    <t>Union Colony School (8965312018A)</t>
  </si>
  <si>
    <t>8965312018A</t>
  </si>
  <si>
    <t>Total for Union Colony School</t>
  </si>
  <si>
    <t>Lotus School for Excellence (5298018018A)</t>
  </si>
  <si>
    <t>5298018018A</t>
  </si>
  <si>
    <t>Total for Lotus School for Excellence</t>
  </si>
  <si>
    <t>New Vision Charter School (6220156018A)</t>
  </si>
  <si>
    <t>6220156018A</t>
  </si>
  <si>
    <t>Total for New Vision Charter School</t>
  </si>
  <si>
    <t>Global Village Academy (3471018018A)</t>
  </si>
  <si>
    <t>3471018018A</t>
  </si>
  <si>
    <t>Grand Peak Academy (formerly Imagine Indigo Ranch) (4251111019A)</t>
  </si>
  <si>
    <t>4251111019A</t>
  </si>
  <si>
    <t>Total for Grand Peak Academy (formerly Imagine Indigo Ranch)</t>
  </si>
  <si>
    <t>Stargate Charter School (1519002019A)</t>
  </si>
  <si>
    <t>1519002019A</t>
  </si>
  <si>
    <t>Total for Stargate Charter School</t>
  </si>
  <si>
    <t>Highline Academy Charter School (3987088019A)</t>
  </si>
  <si>
    <t>3987088019A</t>
  </si>
  <si>
    <t>Total for Highline Academy Charter School</t>
  </si>
  <si>
    <t>New America School (4699002019A)</t>
  </si>
  <si>
    <t>4699002019A</t>
  </si>
  <si>
    <t>Total for New America School</t>
  </si>
  <si>
    <t>Caprock Academy (1279800119A)</t>
  </si>
  <si>
    <t>1279800119A</t>
  </si>
  <si>
    <t>Total for Caprock Academy</t>
  </si>
  <si>
    <t>Legacy Academy (2572092019A)</t>
  </si>
  <si>
    <t>2572092019A</t>
  </si>
  <si>
    <t>Total for Legacy Academy</t>
  </si>
  <si>
    <t>Colorado Early Colleges - Parker (2196800120B)</t>
  </si>
  <si>
    <t>2196800120B</t>
  </si>
  <si>
    <t>Total for Colorado Early Colleges - Parker</t>
  </si>
  <si>
    <t>Colorado Early Colleges - Fort Collins West (2067800119A)</t>
  </si>
  <si>
    <t>2067800119A</t>
  </si>
  <si>
    <t>Total for Colorado Early Colleges - Fort Collins</t>
  </si>
  <si>
    <t>Colorado Early Colleges - Fort Collins Bidg Corp (2067800119B)</t>
  </si>
  <si>
    <t>2067800119B</t>
  </si>
  <si>
    <t>Colorado Springs Early Colleges - Windsor (1795800119A)</t>
  </si>
  <si>
    <t>1795800119A</t>
  </si>
  <si>
    <t>Total for Colorado Springs Early Colleges</t>
  </si>
  <si>
    <t>Colorado Springs Early Colleges - CSEC (1795800119B)</t>
  </si>
  <si>
    <t>1795800119B</t>
  </si>
  <si>
    <t>West Ridge Academy Charter School (9611312020A)</t>
  </si>
  <si>
    <t>9611312020A</t>
  </si>
  <si>
    <t>Total for West Ridge Academy Charter School</t>
  </si>
  <si>
    <t>Crown Pointe Academy (2035800120A)</t>
  </si>
  <si>
    <t>2035800120A</t>
  </si>
  <si>
    <t>Total for Crown Pointe Academy</t>
  </si>
  <si>
    <t>Monument Academy Secondary School (5093108020A)</t>
  </si>
  <si>
    <t>5093108020A</t>
  </si>
  <si>
    <t>Total for Monument Academy Secondary School</t>
  </si>
  <si>
    <t>A</t>
  </si>
  <si>
    <t>James Irwin Charter High School (4378098020A)</t>
  </si>
  <si>
    <t>4378098020A</t>
  </si>
  <si>
    <t>Total for James Irwin Charter High School</t>
  </si>
  <si>
    <t>B</t>
  </si>
  <si>
    <t>James Irwin Charter Middle School (4378098020A)</t>
  </si>
  <si>
    <t>Total for James Irwin Charter Middle School</t>
  </si>
  <si>
    <t>C</t>
  </si>
  <si>
    <t>James Irwin Charter Elementary School (4378098020A)</t>
  </si>
  <si>
    <t>Total for James Irwin Charter Elementary School</t>
  </si>
  <si>
    <t>James Irwin Charter Academy (4403800120A)</t>
  </si>
  <si>
    <t>4403800120A</t>
  </si>
  <si>
    <t>Total for James Irwin Charter Academy</t>
  </si>
  <si>
    <t>Power Technical Early College (6653111020A)</t>
  </si>
  <si>
    <t>6653111020A</t>
  </si>
  <si>
    <t>Total for Power Technical Early College</t>
  </si>
  <si>
    <t>New Summit Charter Academy (6242104020A)</t>
  </si>
  <si>
    <t>6242104020A</t>
  </si>
  <si>
    <t>Total for New Summit Charter Academy</t>
  </si>
  <si>
    <t>Leman Classical School (5225090020A)</t>
  </si>
  <si>
    <t>5225090020A</t>
  </si>
  <si>
    <t>Total for Leman Classical School</t>
  </si>
  <si>
    <t>Colorado Early Colleges - Aurora (1633800120A)</t>
  </si>
  <si>
    <t>1633800120A</t>
  </si>
  <si>
    <t>Total for Colorado Early Colleges - Aurora</t>
  </si>
  <si>
    <t>Rocky Mountain Classical Academy (#7463111020A)</t>
  </si>
  <si>
    <t>7463111020A</t>
  </si>
  <si>
    <t>Total for Rocky Mountain Classical Academy</t>
  </si>
  <si>
    <t>Colorado Skies Academy (#0188013020A)</t>
  </si>
  <si>
    <t>0188013020A</t>
  </si>
  <si>
    <t>Total for Colorado Skies Academy</t>
  </si>
  <si>
    <t>STEM School (#5259090020A)</t>
  </si>
  <si>
    <t>5259090020A</t>
  </si>
  <si>
    <t>Fort Collins Montessori School (#3242155020A)</t>
  </si>
  <si>
    <t>3242155020A</t>
  </si>
  <si>
    <t>Total for Fort Collins Montessori School</t>
  </si>
  <si>
    <t>Colorado Early Colleges Parker (#2196800120C)</t>
  </si>
  <si>
    <t>2196800120C</t>
  </si>
  <si>
    <t>Total for Colorado Early Colleges Parker</t>
  </si>
  <si>
    <t>Two Rivers Community School (#8821800120A)</t>
  </si>
  <si>
    <t>8821800120A</t>
  </si>
  <si>
    <t>Total for Two Rivers Community School</t>
  </si>
  <si>
    <t>Salida del Sol Academy (#8467312020A)</t>
  </si>
  <si>
    <t>8467312020A</t>
  </si>
  <si>
    <t>Total for Salida del Sol Academy</t>
  </si>
  <si>
    <t>Prospect Ridge Academy (#6802002020A)</t>
  </si>
  <si>
    <t>6802002020A</t>
  </si>
  <si>
    <t>Total for Prospect Ridge Academy</t>
  </si>
  <si>
    <t>The Juniper School (#4384152020A)</t>
  </si>
  <si>
    <t>4384152020A</t>
  </si>
  <si>
    <t>Total for The Juniper School</t>
  </si>
  <si>
    <t>Golden View Classical Academy (#3393800120A)</t>
  </si>
  <si>
    <t>3393800120A</t>
  </si>
  <si>
    <t>Total for Golden View Classical Academy</t>
  </si>
  <si>
    <t>Addenbrooke Classical Academy (#1451142020A)</t>
  </si>
  <si>
    <t>1451142020A</t>
  </si>
  <si>
    <t>Total for Addenbrooke Classical Academy</t>
  </si>
  <si>
    <t>American Academy (#0215090020A)</t>
  </si>
  <si>
    <t>0215090020A</t>
  </si>
  <si>
    <t>Total for American Academy</t>
  </si>
  <si>
    <t>Academy of Charter Schools (#0015800120A)</t>
  </si>
  <si>
    <t>0015800120A</t>
  </si>
  <si>
    <t>Total for Academy of Charter Schools</t>
  </si>
  <si>
    <t>Firestone Charter Academy (f/k/a Imagine Charter School) (#4333047020A)</t>
  </si>
  <si>
    <t>4333047020A</t>
  </si>
  <si>
    <t>Total for Imagine Charter School</t>
  </si>
  <si>
    <t>Thomas MacLaren State Charter School (#8825800120A)</t>
  </si>
  <si>
    <t>8825800120A</t>
  </si>
  <si>
    <t>Total for Thomas MacLaren State Charter School</t>
  </si>
  <si>
    <t>Parker Performing Arts (#6719090021A)</t>
  </si>
  <si>
    <t>6719090021A</t>
  </si>
  <si>
    <t>Total for Parker Performing Arts</t>
  </si>
  <si>
    <t>Independence Academy (#2128200021A)</t>
  </si>
  <si>
    <t>2128200021A</t>
  </si>
  <si>
    <t>Academy of Advanced Learning (#0126018021A)</t>
  </si>
  <si>
    <t>0126018021A</t>
  </si>
  <si>
    <t>Total for Academy of Advanced Learning</t>
  </si>
  <si>
    <t>Windsor Charter Academy (#9665310021A)</t>
  </si>
  <si>
    <t>9665310021A</t>
  </si>
  <si>
    <t>Liberty Tree Academy (#5191111021A)</t>
  </si>
  <si>
    <t>5191111021A</t>
  </si>
  <si>
    <t>Total for Liberty Tree Academy</t>
  </si>
  <si>
    <t>Montessori Peaks Academy (#5994142021A)</t>
  </si>
  <si>
    <t>5994142021A</t>
  </si>
  <si>
    <t>Total for Montessori Peaks Academy</t>
  </si>
  <si>
    <t>Chavez/Huerta K-12 Preparatory Academy (#1488269021A)</t>
  </si>
  <si>
    <t>1488269021A</t>
  </si>
  <si>
    <t>Total for Chavez/Huerta K-12 Preparatory Academy</t>
  </si>
  <si>
    <t>Vanguard Classical School - East (#9189018021A)</t>
  </si>
  <si>
    <t>9189018021A</t>
  </si>
  <si>
    <t>Total for Vanguard Classical School - East</t>
  </si>
  <si>
    <t>Collegiate Academy of Colorado (#7701142021A)</t>
  </si>
  <si>
    <t>7701142021A</t>
  </si>
  <si>
    <t>Total for Collegiate Academy of Colorado</t>
  </si>
  <si>
    <t>Swallows Charter Academy (#8420270021A)</t>
  </si>
  <si>
    <t>8420270021A</t>
  </si>
  <si>
    <t>Global Village Academy - Northglenn (#3439800121A)</t>
  </si>
  <si>
    <t>3439800121A</t>
  </si>
  <si>
    <t>Total for Global Village Academy - Northglenn</t>
  </si>
  <si>
    <t>Rocky Mountain Academy of Evergreen (#7462142021A)</t>
  </si>
  <si>
    <t>7462142021A</t>
  </si>
  <si>
    <t>Total for Rocky Mountain Academy of Evergreen</t>
  </si>
  <si>
    <t>Pinnacle Charter School (#0654800121A)</t>
  </si>
  <si>
    <t>0654800121A</t>
  </si>
  <si>
    <t>Heritage Heights Academy (#4189013021A)</t>
  </si>
  <si>
    <t>4189013021A</t>
  </si>
  <si>
    <t>Total for Heritage Heights Academy</t>
  </si>
  <si>
    <t>Villa Bella School (#9084270021A)</t>
  </si>
  <si>
    <t>9084270021A</t>
  </si>
  <si>
    <t>Total for Villa Bella School</t>
  </si>
  <si>
    <t>Lincoln Academy (#5145142021A)</t>
  </si>
  <si>
    <t>5145142021A</t>
  </si>
  <si>
    <t>Total for Lincoln Academy</t>
  </si>
  <si>
    <t>Pikes Peak School of Expeditionary Learning (#6935111021A)</t>
  </si>
  <si>
    <t>6935111021A</t>
  </si>
  <si>
    <t>Total for Pikes Peak School of Expeditionary Learning</t>
  </si>
  <si>
    <t>Aspen View Academy (#6019090021A)</t>
  </si>
  <si>
    <t>6019090021A</t>
  </si>
  <si>
    <t>Total for Aspen View Academy</t>
  </si>
  <si>
    <t>Vega Collegiate Academy (#9053018022A)</t>
  </si>
  <si>
    <t>9053018022A</t>
  </si>
  <si>
    <t>Total for Vega Collegiate Academy</t>
  </si>
  <si>
    <t>Jefferson Academy (#4402142022A)</t>
  </si>
  <si>
    <t>4402142022A</t>
  </si>
  <si>
    <t>Total for Jefferson Academy</t>
  </si>
  <si>
    <t>Denver School of Science &amp; Technology (#2145088022A)</t>
  </si>
  <si>
    <t>2145088022A</t>
  </si>
  <si>
    <t>Total for Denver School of Science &amp; Technology</t>
  </si>
  <si>
    <t>High Point Academy (#0655800122A)</t>
  </si>
  <si>
    <t>0655800122A</t>
  </si>
  <si>
    <t>Total for High Point Academy</t>
  </si>
  <si>
    <t>Colorado Military Academy (#1505800122A)</t>
  </si>
  <si>
    <t>1505800122A</t>
  </si>
  <si>
    <t>Total for Colorado Military Academy</t>
  </si>
  <si>
    <t>New Summit Charter Academy (#6242104022A)</t>
  </si>
  <si>
    <t>6242104022A</t>
  </si>
  <si>
    <t>Westgate Community School (#9431002022A)</t>
  </si>
  <si>
    <t>9431002022A</t>
  </si>
  <si>
    <t>Banning Lewis Ranch Academy (#0555111022A)</t>
  </si>
  <si>
    <t>0555111022A</t>
  </si>
  <si>
    <t>Windsor Charter Academy (#9665310022A)</t>
  </si>
  <si>
    <t>9665310022A</t>
  </si>
  <si>
    <t>STEM School (#5259090022A)</t>
  </si>
  <si>
    <t>5259090022A</t>
  </si>
  <si>
    <t>Pioneer Technology and Arts Academy (#1275111022A)</t>
  </si>
  <si>
    <t>1275111022A</t>
  </si>
  <si>
    <t>Total for Pioneer Technology and Arts Academy</t>
  </si>
  <si>
    <t>Global Village Academy - Aurora (#3471018022A)</t>
  </si>
  <si>
    <t>3471018022A</t>
  </si>
  <si>
    <t>Total for Global Village Academy - Aurora</t>
  </si>
  <si>
    <t>Global Village Academy - Aurora (#3471018022B)</t>
  </si>
  <si>
    <t>3471018022B</t>
  </si>
  <si>
    <t>Coperni 3 (#5431800122A) [was Coperni 2 but merged w/Coperni 3]</t>
  </si>
  <si>
    <t>5431800122A</t>
  </si>
  <si>
    <t>Total for Coperni 2</t>
  </si>
  <si>
    <t>Coperni 3 (#5431800122B) [was Coperni 2 but merged w/Coperni 3]</t>
  </si>
  <si>
    <t>5431800122B</t>
  </si>
  <si>
    <t>Grand Peak Academy (#4251111022A)</t>
  </si>
  <si>
    <t>4251111022A</t>
  </si>
  <si>
    <t>Total for Grand Peak Academy</t>
  </si>
  <si>
    <t>Golden View Classical Academy (#3393880122A)</t>
  </si>
  <si>
    <t>3393880122A</t>
  </si>
  <si>
    <t>Littleton Academy (#5229014022A)</t>
  </si>
  <si>
    <t>5229014022A</t>
  </si>
  <si>
    <t>Total for Littleton Academy</t>
  </si>
  <si>
    <t>New Vision Charter School (#6220156022A)</t>
  </si>
  <si>
    <t>6220156022A</t>
  </si>
  <si>
    <t>Doral Academy (#2189142022A)</t>
  </si>
  <si>
    <t>2189142022A</t>
  </si>
  <si>
    <t>Total for Doral Academy</t>
  </si>
  <si>
    <t>Knowledge Quest Academy (#4785311022A)</t>
  </si>
  <si>
    <t>4785311022A</t>
  </si>
  <si>
    <t>Total for Knowledge Quest Academy</t>
  </si>
  <si>
    <t>CIVICA Colorado (#6226311022A)</t>
  </si>
  <si>
    <t>6226311022A</t>
  </si>
  <si>
    <t>Total for CIVICA Colorado</t>
  </si>
  <si>
    <t>Chavez/Huerta K-12 Preparatory Academy (#1488269022A)</t>
  </si>
  <si>
    <t>1488269022A</t>
  </si>
  <si>
    <t>Total for Chavez/Huerty K-12 Preparatory Academy</t>
  </si>
  <si>
    <t>Mountain Sage Community School (#5917155022A)</t>
  </si>
  <si>
    <t>5917155022A</t>
  </si>
  <si>
    <t>Total for Mountain Sage Community School</t>
  </si>
  <si>
    <t>Mountain Song Community School (#5851800122A)</t>
  </si>
  <si>
    <t>5851800122A</t>
  </si>
  <si>
    <t>Total for Mountain Song Community School</t>
  </si>
  <si>
    <t>Belle Creek Charter School (#0700004022A)</t>
  </si>
  <si>
    <t>0700004022A</t>
  </si>
  <si>
    <t>Colorado Early Colleges Aurora (#1633800122A)</t>
  </si>
  <si>
    <t>1633800122A</t>
  </si>
  <si>
    <t>Total for Colorado Early Colleges Aurora</t>
  </si>
  <si>
    <t>Colorado Early Colleges Douglas (SC#2196)</t>
  </si>
  <si>
    <t>Total for Colorado Early Colleges Douglas</t>
  </si>
  <si>
    <t>Colorado Springs Early Colleges (#1795800122A)</t>
  </si>
  <si>
    <t>1795800122A</t>
  </si>
  <si>
    <t>Colorado Early Colleges Ft Collins (SC#2067)</t>
  </si>
  <si>
    <t>Total for Colorado Early Colleges Ft Collins</t>
  </si>
  <si>
    <t>Colorado Early Colleges Windsor (SC#1387)</t>
  </si>
  <si>
    <t>Total for Colorado Early Colleges Windsor</t>
  </si>
  <si>
    <t>Challenge to Excellence Charter School (#1512090023A)</t>
  </si>
  <si>
    <t>1512090023A</t>
  </si>
  <si>
    <t>Total for Challenge to Excellence Charter School</t>
  </si>
  <si>
    <t>Eagle Ridge Academy (#2399004023A)</t>
  </si>
  <si>
    <t>2399004023A</t>
  </si>
  <si>
    <t>James Irwin Charter High School (4378098023A)</t>
  </si>
  <si>
    <t>4378098023A</t>
  </si>
  <si>
    <t>James Irwin Charter Middle School (4378098023A)</t>
  </si>
  <si>
    <t>James Irwin Charter Elementary School (4378098023A)</t>
  </si>
  <si>
    <t>437809023A</t>
  </si>
  <si>
    <t>James Irwin Charter Academy (4403800123A)</t>
  </si>
  <si>
    <t>4403800123A</t>
  </si>
  <si>
    <t>Power Technical Early College (#6653111023A)</t>
  </si>
  <si>
    <t>6653111023A</t>
  </si>
  <si>
    <t>Global Village Academy - Douglas (#3327090023A)</t>
  </si>
  <si>
    <t>3327090023A</t>
  </si>
  <si>
    <t>Total for Global Village Academy - Douglas</t>
  </si>
  <si>
    <t>Fort Collins Montessori School (#3242155023A)</t>
  </si>
  <si>
    <t>3242155023A</t>
  </si>
  <si>
    <t>Highline Academy Charter School (#3987088023A)</t>
  </si>
  <si>
    <t>3987088023A</t>
  </si>
  <si>
    <t>Leman Classical School (#5225090023A)</t>
  </si>
  <si>
    <t>5225090023A</t>
  </si>
  <si>
    <t>Mountain Phoenix Community School (#6139142023A)</t>
  </si>
  <si>
    <t>6139142023A</t>
  </si>
  <si>
    <t>Loveland Classical Schools (#5235156023A)</t>
  </si>
  <si>
    <t>5235156023A</t>
  </si>
  <si>
    <t>Renaissance Secondary School (7244090024A)</t>
  </si>
  <si>
    <t>7244090024A</t>
  </si>
  <si>
    <t>Ascent Classical Academy of Grand Junction (2905800124A)</t>
  </si>
  <si>
    <t>20905800124A</t>
  </si>
  <si>
    <t>Total for Ascent Classical Academy of Grand Junction</t>
  </si>
  <si>
    <t>Ascent Classical Academy of Grand Junction (2905800124B)</t>
  </si>
  <si>
    <t>2905800124B</t>
  </si>
  <si>
    <t>0188013024A</t>
  </si>
  <si>
    <t>Pioneer Technology and Arts Academy (1275111024A)</t>
  </si>
  <si>
    <t>1275111024A</t>
  </si>
  <si>
    <t>Villa Bella Expeditionary School (9084270024A)</t>
  </si>
  <si>
    <t>9084270024A</t>
  </si>
  <si>
    <t>Total for Villa Bella Expeditionary School</t>
  </si>
  <si>
    <t>Rocky Mountain Classical Academy (#7463111024A)</t>
  </si>
  <si>
    <t>7463111024A</t>
  </si>
  <si>
    <t>Total for Rocky Mountain Classical School</t>
  </si>
  <si>
    <t>6400004024A</t>
  </si>
  <si>
    <t>Total for The STEAD School</t>
  </si>
  <si>
    <t>Stone Creek School (#0653800124A)</t>
  </si>
  <si>
    <t>0653800124A</t>
  </si>
  <si>
    <t xml:space="preserve">Total for Stone Creek </t>
  </si>
  <si>
    <t>Summary</t>
  </si>
  <si>
    <t>Debt Reserve  (8040 WAAA)</t>
  </si>
  <si>
    <t>Treasury Fee  (17F0 WAAA)</t>
  </si>
  <si>
    <t>Intercept  (9410 WAAA)</t>
  </si>
  <si>
    <r>
      <t>Total for all payments</t>
    </r>
    <r>
      <rPr>
        <sz val="10"/>
        <rFont val="Arial"/>
        <family val="2"/>
      </rPr>
      <t xml:space="preserve">  (1130 DAAA)</t>
    </r>
  </si>
  <si>
    <t>*</t>
  </si>
  <si>
    <t>SD revoked charter / Charter closed</t>
  </si>
  <si>
    <t>Advance refunded</t>
  </si>
  <si>
    <t>***</t>
  </si>
  <si>
    <t>Payment schedule combined with schedule for a later issuance</t>
  </si>
  <si>
    <t>Intercepted Windsor's 2016 pymt instead of 2020 pymt; bank applied $34,350 to 2020 &amp; returned $67,531.25 to school.</t>
  </si>
  <si>
    <t>Belle Creek's 2007 intercept amt was returned to us by the bank, and we returned it to Belle Creek; however, the Debt Reserve Fee did not get returned.  Therefore, reducing their SEP intercept amt on the 2022 issuance.</t>
  </si>
  <si>
    <t>Per CEC's CFO, corrected split percentages in DEC and adjusted for JUL-NOV.</t>
  </si>
  <si>
    <t>Intercept sent to bank according to original intercept schedule; bank did not reject it.</t>
  </si>
  <si>
    <t>Intercept sent to bank according to original intercept schedule; bank rejected it, so sent wire to the school.</t>
  </si>
  <si>
    <t>Received revised intercept schedule 11/15/23.</t>
  </si>
  <si>
    <t xml:space="preserve">Colorado Skies Academy (0188013024A) </t>
  </si>
  <si>
    <t>Caprock Intercept payment of $111,701.67 was for 7/25/26 in error should have been $111,775-payment short -Per Shannon Grant Zions okay with receiving the difference of 73.33 with Aug payment</t>
  </si>
  <si>
    <t>STEAD School (#6400004024A)</t>
  </si>
  <si>
    <t xml:space="preserve">Vanguard School payment for July &amp; August was for 7/25/26 &amp; 8/25/26 in error. The correction made in September. The intercept schedule will include a total of $625 for intercept payment July and August in addition to $95.84 for the Debt Reserve for July and August </t>
  </si>
  <si>
    <t xml:space="preserve">Vanguard School payment for July &amp; August was for 7/25/26 &amp; 8/25/26 in error. The correction made in September. The Sept. intercept schedule will include a total of $625 for intercept payment July and August in addition to $95.84 for the Debt Reserve for July and August </t>
  </si>
  <si>
    <t>Montessori Peaks payment to trustee was short $500. Wired $23,765.63 and s/h wired $24,265.63. Sent the $500 on 10/1/24 to prevent the school to become in default. Intercept the $500 with the October interecept</t>
  </si>
  <si>
    <t>Skyview Academy (#63650900251)</t>
  </si>
  <si>
    <t>6365090025A</t>
  </si>
  <si>
    <t>Total for Skyview</t>
  </si>
  <si>
    <t>Trustee refunded Sep24 &amp; Oct24 payment back to Skyview Academy. The 2014 Bond refunded with the 2024Bond.</t>
  </si>
  <si>
    <t>Academy of Charter Schools (The Academy)</t>
  </si>
  <si>
    <t>Dec25-Jun25</t>
  </si>
  <si>
    <t xml:space="preserve">Education to Treasury-Intercept totals </t>
  </si>
  <si>
    <t>Jul24-Nov24</t>
  </si>
  <si>
    <t>Code</t>
  </si>
  <si>
    <t>County</t>
  </si>
  <si>
    <t>District</t>
  </si>
  <si>
    <t>9 or 12 Month</t>
  </si>
  <si>
    <t>0010</t>
  </si>
  <si>
    <t>ADAMS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</si>
  <si>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</si>
  <si>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</si>
  <si>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</si>
  <si>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</si>
  <si>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</si>
  <si>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</si>
  <si>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</si>
  <si>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</si>
  <si>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</si>
  <si>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</si>
  <si>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</si>
  <si>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</si>
  <si>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</si>
  <si>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</si>
  <si>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</si>
  <si>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</si>
  <si>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</si>
  <si>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</si>
  <si>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</si>
  <si>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</si>
  <si>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</si>
  <si>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</si>
  <si>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</si>
  <si>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</si>
  <si>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</si>
  <si>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</si>
  <si>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</si>
  <si>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</si>
  <si>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</si>
  <si>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</si>
  <si>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</si>
  <si>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</si>
  <si>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</si>
  <si>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</si>
  <si>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</si>
  <si>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 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</si>
  <si>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</si>
  <si>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</si>
  <si>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</si>
  <si>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</si>
  <si>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</si>
  <si>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</si>
  <si>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</si>
  <si>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</si>
  <si>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</si>
  <si>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</si>
  <si>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</si>
  <si>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</si>
  <si>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</si>
  <si>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</si>
  <si>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</si>
  <si>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 Clave Re-2</t>
  </si>
  <si>
    <t>0470</t>
  </si>
  <si>
    <t>BOULDER</t>
  </si>
  <si>
    <t>St Vrain Valley Re 1J</t>
  </si>
  <si>
    <t>0480</t>
  </si>
  <si>
    <t>Boulder Valley Re 2</t>
  </si>
  <si>
    <t>0490</t>
  </si>
  <si>
    <t>CHAFFEE</t>
  </si>
  <si>
    <t>Buena Vista R-31</t>
  </si>
  <si>
    <t>0500</t>
  </si>
  <si>
    <t>Salida R-32</t>
  </si>
  <si>
    <t>0510</t>
  </si>
  <si>
    <t>CHEYENNE</t>
  </si>
  <si>
    <t>Kit Carson R-1</t>
  </si>
  <si>
    <t>0520</t>
  </si>
  <si>
    <t>Cheyenne County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</si>
  <si>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</si>
  <si>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</si>
  <si>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</si>
  <si>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</si>
  <si>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</si>
  <si>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</si>
  <si>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</si>
  <si>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</si>
  <si>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</si>
  <si>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</si>
  <si>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</si>
  <si>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</si>
  <si>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</si>
  <si>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</si>
  <si>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</si>
  <si>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</si>
  <si>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</si>
  <si>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</si>
  <si>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</si>
  <si>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</si>
  <si>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Custer County School District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</si>
  <si>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</si>
  <si>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</si>
  <si>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</si>
  <si>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</si>
  <si>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</si>
  <si>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</si>
  <si>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</si>
  <si>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</si>
  <si>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County Re No.2</t>
  </si>
  <si>
    <t>0900</t>
  </si>
  <si>
    <t>DOUGLAS</t>
  </si>
  <si>
    <t>Douglas County Re 1</t>
  </si>
  <si>
    <t>0910</t>
  </si>
  <si>
    <t>EAGLE</t>
  </si>
  <si>
    <t>Eagle County Re 50</t>
  </si>
  <si>
    <t>0920</t>
  </si>
  <si>
    <t>ELBERT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</si>
  <si>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</si>
  <si>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</si>
  <si>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</si>
  <si>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</si>
  <si>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</si>
  <si>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</si>
  <si>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</si>
  <si>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</si>
  <si>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</si>
  <si>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</si>
  <si>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</si>
  <si>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</si>
  <si>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</si>
  <si>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</si>
  <si>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</si>
  <si>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</si>
  <si>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</si>
  <si>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</si>
  <si>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</si>
  <si>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</si>
  <si>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</si>
  <si>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</si>
  <si>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</si>
  <si>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</si>
  <si>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</si>
  <si>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</si>
  <si>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</si>
  <si>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</si>
  <si>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</si>
  <si>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</si>
  <si>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</si>
  <si>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</si>
  <si>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</si>
  <si>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</si>
  <si>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</si>
  <si>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</si>
  <si>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</si>
  <si>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</si>
  <si>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</si>
  <si>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</si>
  <si>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1140</t>
  </si>
  <si>
    <t>FREMONT</t>
  </si>
  <si>
    <t>Canon City Re-1</t>
  </si>
  <si>
    <t>1150</t>
  </si>
  <si>
    <t>Fremont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</si>
  <si>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</si>
  <si>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</si>
  <si>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</si>
  <si>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</si>
  <si>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</si>
  <si>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</si>
  <si>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</si>
  <si>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</si>
  <si>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Garfield 16</t>
  </si>
  <si>
    <t>1330</t>
  </si>
  <si>
    <t>GILPIN</t>
  </si>
  <si>
    <t>Gilpin County Re-1</t>
  </si>
  <si>
    <t>1340</t>
  </si>
  <si>
    <t>GRAND</t>
  </si>
  <si>
    <t>West Grand 1-Jt</t>
  </si>
  <si>
    <t>1350</t>
  </si>
  <si>
    <t>East Grand 2</t>
  </si>
  <si>
    <t>1360</t>
  </si>
  <si>
    <t>GUNNISON</t>
  </si>
  <si>
    <t>Gunnison Watershed Re1J</t>
  </si>
  <si>
    <t>1380</t>
  </si>
  <si>
    <t>HINSDALE</t>
  </si>
  <si>
    <t>Hinsdale County Re 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</si>
  <si>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</si>
  <si>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</si>
  <si>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</si>
  <si>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</si>
  <si>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</si>
  <si>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</si>
  <si>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</si>
  <si>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</si>
  <si>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</si>
  <si>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</si>
  <si>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County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</si>
  <si>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</si>
  <si>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</si>
  <si>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</si>
  <si>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</si>
  <si>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</si>
  <si>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</si>
  <si>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</si>
  <si>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</si>
  <si>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</si>
  <si>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</si>
  <si>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</si>
  <si>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</si>
  <si>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</si>
  <si>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</si>
  <si>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</si>
  <si>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</si>
  <si>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</si>
  <si>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</si>
  <si>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Lake County R-1</t>
  </si>
  <si>
    <t>1520</t>
  </si>
  <si>
    <t>LA PLATA</t>
  </si>
  <si>
    <t>Durango 9-R</t>
  </si>
  <si>
    <t>1530</t>
  </si>
  <si>
    <t>Bayfield 10 Jt-R</t>
  </si>
  <si>
    <t>1540</t>
  </si>
  <si>
    <t>Ignacio 11 Jt</t>
  </si>
  <si>
    <t>1550</t>
  </si>
  <si>
    <t>LARIMER</t>
  </si>
  <si>
    <t>Poudre R-1</t>
  </si>
  <si>
    <t>1560</t>
  </si>
  <si>
    <t>Thompson R2-J</t>
  </si>
  <si>
    <t>1570</t>
  </si>
  <si>
    <t>Estes Park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</si>
  <si>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</si>
  <si>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</si>
  <si>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</si>
  <si>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</si>
  <si>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</si>
  <si>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</si>
  <si>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</si>
  <si>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</si>
  <si>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</si>
  <si>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</si>
  <si>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</si>
  <si>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</si>
  <si>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</si>
  <si>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</si>
  <si>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LINCOLN</t>
  </si>
  <si>
    <t>Genoa-Hugo C113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</si>
  <si>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</si>
  <si>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</si>
  <si>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</si>
  <si>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</si>
  <si>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</si>
  <si>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</si>
  <si>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</si>
  <si>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</si>
  <si>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</si>
  <si>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</si>
  <si>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</si>
  <si>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</si>
  <si>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</si>
  <si>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</si>
  <si>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MESA</t>
  </si>
  <si>
    <t>De Beque 49Jt</t>
  </si>
  <si>
    <t>1990</t>
  </si>
  <si>
    <t>Plateau Valley 50</t>
  </si>
  <si>
    <t>2000</t>
  </si>
  <si>
    <t>Mesa County Valley 51</t>
  </si>
  <si>
    <t>2010</t>
  </si>
  <si>
    <t>MINERAL</t>
  </si>
  <si>
    <t>Creede School District</t>
  </si>
  <si>
    <t>2020</t>
  </si>
  <si>
    <t>MOFFAT</t>
  </si>
  <si>
    <t>Moffat County Re:No 1</t>
  </si>
  <si>
    <t>2035</t>
  </si>
  <si>
    <t>MONTEZUMA</t>
  </si>
  <si>
    <t>Montezuma-Cortez Re-1</t>
  </si>
  <si>
    <t>2055</t>
  </si>
  <si>
    <t>Dolores Re-4A</t>
  </si>
  <si>
    <t>2070</t>
  </si>
  <si>
    <t>Mancos Re-6</t>
  </si>
  <si>
    <t>2180</t>
  </si>
  <si>
    <t>MONTROSE</t>
  </si>
  <si>
    <t>Montrose County Re-1J</t>
  </si>
  <si>
    <t>2190</t>
  </si>
  <si>
    <t>West End Re-2</t>
  </si>
  <si>
    <t>2395</t>
  </si>
  <si>
    <t>MORGAN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</si>
  <si>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</si>
  <si>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</si>
  <si>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</si>
  <si>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</si>
  <si>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</si>
  <si>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</si>
  <si>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</si>
  <si>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</si>
  <si>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</si>
  <si>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</si>
  <si>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</si>
  <si>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</si>
  <si>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</si>
  <si>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</si>
  <si>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</si>
  <si>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</si>
  <si>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</si>
  <si>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</si>
  <si>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</si>
  <si>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</si>
  <si>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</si>
  <si>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</si>
  <si>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</si>
  <si>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</si>
  <si>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</si>
  <si>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</si>
  <si>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</si>
  <si>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1</t>
  </si>
  <si>
    <t>2610</t>
  </si>
  <si>
    <t>Park County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</si>
  <si>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</si>
  <si>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</si>
  <si>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</si>
  <si>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</si>
  <si>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</si>
  <si>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</si>
  <si>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</si>
  <si>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</si>
  <si>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</si>
  <si>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</si>
  <si>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</si>
  <si>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</si>
  <si>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</si>
  <si>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</si>
  <si>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</si>
  <si>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</si>
  <si>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</si>
  <si>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</si>
  <si>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</t>
  </si>
  <si>
    <t>Pueblo City 60</t>
  </si>
  <si>
    <t>2700</t>
  </si>
  <si>
    <t>Pueblo County 70</t>
  </si>
  <si>
    <t>2710</t>
  </si>
  <si>
    <t>RIO BLANCO</t>
  </si>
  <si>
    <t>Meeker Re1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</si>
  <si>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</si>
  <si>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</si>
  <si>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</si>
  <si>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</si>
  <si>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</si>
  <si>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</si>
  <si>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</si>
  <si>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</si>
  <si>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</si>
  <si>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</si>
  <si>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</si>
  <si>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</si>
  <si>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</si>
  <si>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</si>
  <si>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</si>
  <si>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 3</t>
  </si>
  <si>
    <t>2790</t>
  </si>
  <si>
    <t>SAGUACHE</t>
  </si>
  <si>
    <t>Mountain Valley Re 1</t>
  </si>
  <si>
    <t>2800</t>
  </si>
  <si>
    <t>Moffat 2</t>
  </si>
  <si>
    <t>2810</t>
  </si>
  <si>
    <t>Center 26 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</si>
  <si>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</si>
  <si>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</si>
  <si>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</si>
  <si>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</si>
  <si>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</si>
  <si>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</si>
  <si>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</si>
  <si>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</si>
  <si>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</si>
  <si>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</si>
  <si>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</si>
  <si>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</si>
  <si>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Revere School District</t>
  </si>
  <si>
    <t>3000</t>
  </si>
  <si>
    <t>SUMMIT</t>
  </si>
  <si>
    <t>Summit Re-1</t>
  </si>
  <si>
    <t>3010</t>
  </si>
  <si>
    <t>TELLER</t>
  </si>
  <si>
    <t>Cripple Creek-Victor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</si>
  <si>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</si>
  <si>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</si>
  <si>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</si>
  <si>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</si>
  <si>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</si>
  <si>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</si>
  <si>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</si>
  <si>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</si>
  <si>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</si>
  <si>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</si>
  <si>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</si>
  <si>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</si>
  <si>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</si>
  <si>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</si>
  <si>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</si>
  <si>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</si>
  <si>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</si>
  <si>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</si>
  <si>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</si>
  <si>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</si>
  <si>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</si>
  <si>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</si>
  <si>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</si>
  <si>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</si>
  <si>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</si>
  <si>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</si>
  <si>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</si>
  <si>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</si>
  <si>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</si>
  <si>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</si>
  <si>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</si>
  <si>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</si>
  <si>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</si>
  <si>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</si>
  <si>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</si>
  <si>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</si>
  <si>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</si>
  <si>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</si>
  <si>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</si>
  <si>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</si>
  <si>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</si>
  <si>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</si>
  <si>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</si>
  <si>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</si>
  <si>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</si>
  <si>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</si>
  <si>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</si>
  <si>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</si>
  <si>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School Institute</t>
  </si>
  <si>
    <t>9 or 12 month</t>
  </si>
  <si>
    <t>2128200025A</t>
  </si>
  <si>
    <t>CHARTER SCHOOL INTERCEPTS EDUCATION TO TREASURY</t>
  </si>
  <si>
    <t>Liberty Common_2024 (5120155025A)</t>
  </si>
  <si>
    <t>5120155025A</t>
  </si>
  <si>
    <t>Total for Liberty Common</t>
  </si>
  <si>
    <t>0015800125A</t>
  </si>
  <si>
    <t>Academy of Charter Schools (0015800125A-The Academy)</t>
  </si>
  <si>
    <t>Independence Academy (2128200025A)</t>
  </si>
  <si>
    <t xml:space="preserve">Changed the following Schools to a 12month schedule: Colorado Early Colleges-Douglas, Windsor, Colorado Skies Academy, and Academy of Charter Schools-. Reduced the January intercept payment by the Dec24 amount over the regular payment schedule. </t>
  </si>
  <si>
    <t>Colorado Skies Academy Feb25 Intercept payment reduced by (8,689.63) due to changing the schedule from 9 month to 12 month.</t>
  </si>
  <si>
    <t>Changed the following Schools to a 12month schedule: Colorado Early Colleges-Douglas, Windsor, Colorado Skies Academy, and Academy of Charter Schools-. Reduced the January intercept payment by the Dec24 amount over the regular payment schedule: Colorado Early Colleges-Douglas (179,183.72), Windsor (50,220.10),Colorado Skies Academy (69,429.17) Jan25 &amp; Feb25 will be reduced by (8,678.63), and Academy of Charter Schools (133,807.00).</t>
  </si>
  <si>
    <t>Global Village Academy North</t>
  </si>
  <si>
    <t>3439800124A</t>
  </si>
  <si>
    <t>Global Village Academy North-Feb Intercept includes Jan &amp; Feb- Did not intercept for Jan, but Paid Trustee for the Jan25 payment</t>
  </si>
  <si>
    <t>Global Village Academy North (3439800124A)</t>
  </si>
  <si>
    <t>Education to Treasury-Intercept totals</t>
  </si>
  <si>
    <t>Refunded to Liberty Common a total of $184,553.85- Includes the $158,887.40 2014 and 25,777.36 2015-Bonds Dec Intercept refinanced with 2024 bond</t>
  </si>
  <si>
    <t>Total Interecept for 9 month Schedule</t>
  </si>
  <si>
    <t>Total Interecept for 12 month Schedule</t>
  </si>
  <si>
    <t xml:space="preserve">listed as 12 </t>
  </si>
  <si>
    <t>s/b 9 month</t>
  </si>
  <si>
    <t>Agreement #</t>
  </si>
  <si>
    <t>Summary Breakdown- 9 month and 12 month totals</t>
  </si>
  <si>
    <t>NOTES:</t>
  </si>
  <si>
    <t>The following schools were on 12 month schedule and shoud have been 9. Corrected intercepting the payments for the remaning of FY25 in April: James Madison; James Irwin Charter Academy: Two Rivers Community School; Thomas MacLaren State Charter; Montessori Peaks Academy</t>
  </si>
  <si>
    <t xml:space="preserve">Adjusted April 2025 Intercept to equal the Debt Schedule for FY25: Peak to Peak; Excel Academy; Global Village Academy North; Colorado Early Colleges Aurora &amp; Douglas;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</si>
</sst>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409]d\-mmm;@"/>
    <numFmt numFmtId="166" formatCode="_(* #,##0.0_);_(* \(#,##0.0\);_(* &quot;-&quot;??_);_(@_)"/>
  </numFmts>
  <fonts count="12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5" fontId="2" fillId="0" borderId="0"/>
    <xf numFmtId="0" fontId="1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center"/>
    </xf>
    <xf numFmtId="44" fontId="4" fillId="0" borderId="0" xfId="0" applyNumberFormat="1" applyFont="1" applyAlignment="1">
      <alignment horizontal="center" wrapText="1"/>
    </xf>
    <xf numFmtId="4" fontId="0" fillId="0" borderId="0" xfId="0" applyNumberFormat="1"/>
    <xf numFmtId="44" fontId="3" fillId="0" borderId="0" xfId="0" applyNumberFormat="1" applyFont="1" applyAlignment="1">
      <alignment wrapText="1"/>
    </xf>
    <xf numFmtId="164" fontId="5" fillId="0" borderId="0" xfId="0" applyNumberFormat="1" applyFont="1"/>
    <xf numFmtId="44" fontId="5" fillId="0" borderId="0" xfId="0" quotePrefix="1" applyNumberFormat="1" applyFont="1" applyAlignment="1">
      <alignment horizontal="right" wrapText="1"/>
    </xf>
    <xf numFmtId="4" fontId="5" fillId="0" borderId="0" xfId="0" quotePrefix="1" applyNumberFormat="1" applyFont="1" applyAlignment="1">
      <alignment horizontal="right" wrapText="1"/>
    </xf>
    <xf numFmtId="43" fontId="0" fillId="0" borderId="0" xfId="0" applyNumberFormat="1"/>
    <xf numFmtId="0" fontId="6" fillId="2" borderId="0" xfId="0" applyFont="1" applyFill="1" applyAlignment="1">
      <alignment horizontal="right"/>
    </xf>
    <xf numFmtId="43" fontId="5" fillId="3" borderId="0" xfId="0" applyNumberFormat="1" applyFont="1" applyFill="1"/>
    <xf numFmtId="43" fontId="0" fillId="0" borderId="0" xfId="1" applyFont="1"/>
    <xf numFmtId="39" fontId="0" fillId="0" borderId="0" xfId="0" applyNumberFormat="1"/>
    <xf numFmtId="43" fontId="3" fillId="0" borderId="1" xfId="0" applyNumberFormat="1" applyFont="1" applyBorder="1" applyAlignment="1">
      <alignment horizontal="center"/>
    </xf>
    <xf numFmtId="39" fontId="3" fillId="0" borderId="2" xfId="0" applyNumberFormat="1" applyFont="1" applyBorder="1"/>
    <xf numFmtId="43" fontId="3" fillId="0" borderId="0" xfId="0" applyNumberFormat="1" applyFont="1" applyAlignment="1">
      <alignment horizontal="center"/>
    </xf>
    <xf numFmtId="43" fontId="5" fillId="3" borderId="0" xfId="0" quotePrefix="1" applyNumberFormat="1" applyFont="1" applyFill="1" applyAlignment="1">
      <alignment horizontal="left"/>
    </xf>
    <xf numFmtId="43" fontId="7" fillId="4" borderId="0" xfId="1" applyFont="1" applyFill="1"/>
    <xf numFmtId="43" fontId="3" fillId="0" borderId="1" xfId="0" quotePrefix="1" applyNumberFormat="1" applyFont="1" applyBorder="1" applyAlignment="1">
      <alignment horizontal="center"/>
    </xf>
    <xf numFmtId="39" fontId="3" fillId="4" borderId="2" xfId="0" applyNumberFormat="1" applyFont="1" applyFill="1" applyBorder="1"/>
    <xf numFmtId="0" fontId="3" fillId="0" borderId="0" xfId="0" quotePrefix="1" applyFont="1" applyAlignment="1">
      <alignment horizontal="center"/>
    </xf>
    <xf numFmtId="43" fontId="5" fillId="0" borderId="0" xfId="0" quotePrefix="1" applyNumberFormat="1" applyFont="1" applyAlignment="1">
      <alignment horizontal="left"/>
    </xf>
    <xf numFmtId="4" fontId="3" fillId="0" borderId="2" xfId="0" applyNumberFormat="1" applyFont="1" applyBorder="1"/>
    <xf numFmtId="43" fontId="3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43" fontId="5" fillId="0" borderId="0" xfId="0" applyNumberFormat="1" applyFont="1"/>
    <xf numFmtId="43" fontId="0" fillId="0" borderId="0" xfId="1" applyFont="1" applyFill="1"/>
    <xf numFmtId="39" fontId="0" fillId="3" borderId="0" xfId="0" applyNumberFormat="1" applyFill="1"/>
    <xf numFmtId="4" fontId="0" fillId="0" borderId="0" xfId="1" applyNumberFormat="1" applyFont="1" applyFill="1"/>
    <xf numFmtId="4" fontId="0" fillId="0" borderId="0" xfId="1" applyNumberFormat="1" applyFont="1"/>
    <xf numFmtId="0" fontId="6" fillId="3" borderId="0" xfId="0" applyFont="1" applyFill="1" applyAlignment="1">
      <alignment horizontal="right" vertical="center"/>
    </xf>
    <xf numFmtId="4" fontId="0" fillId="0" borderId="0" xfId="1" applyNumberFormat="1" applyFont="1" applyFill="1" applyBorder="1" applyAlignment="1"/>
    <xf numFmtId="0" fontId="3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39" fontId="0" fillId="4" borderId="0" xfId="0" applyNumberFormat="1" applyFill="1"/>
    <xf numFmtId="43" fontId="0" fillId="0" borderId="0" xfId="1" applyFont="1" applyFill="1" applyBorder="1" applyAlignment="1"/>
    <xf numFmtId="39" fontId="3" fillId="0" borderId="0" xfId="0" applyNumberFormat="1" applyFont="1"/>
    <xf numFmtId="4" fontId="3" fillId="0" borderId="0" xfId="0" applyNumberFormat="1" applyFont="1"/>
    <xf numFmtId="0" fontId="7" fillId="0" borderId="0" xfId="0" applyFont="1"/>
    <xf numFmtId="0" fontId="0" fillId="4" borderId="0" xfId="0" applyFill="1"/>
    <xf numFmtId="39" fontId="0" fillId="5" borderId="0" xfId="0" applyNumberFormat="1" applyFill="1"/>
    <xf numFmtId="39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Alignment="1">
      <alignment horizontal="left"/>
    </xf>
    <xf numFmtId="43" fontId="3" fillId="0" borderId="3" xfId="0" applyNumberFormat="1" applyFont="1" applyBorder="1" applyAlignment="1">
      <alignment horizontal="center"/>
    </xf>
    <xf numFmtId="4" fontId="0" fillId="0" borderId="2" xfId="0" applyNumberFormat="1" applyBorder="1"/>
    <xf numFmtId="39" fontId="5" fillId="0" borderId="0" xfId="0" applyNumberFormat="1" applyFont="1"/>
    <xf numFmtId="4" fontId="5" fillId="0" borderId="0" xfId="0" applyNumberFormat="1" applyFont="1"/>
    <xf numFmtId="43" fontId="3" fillId="0" borderId="0" xfId="0" applyNumberFormat="1" applyFont="1"/>
    <xf numFmtId="0" fontId="6" fillId="6" borderId="0" xfId="0" applyFont="1" applyFill="1" applyAlignment="1">
      <alignment horizontal="right"/>
    </xf>
    <xf numFmtId="43" fontId="3" fillId="6" borderId="0" xfId="0" quotePrefix="1" applyNumberFormat="1" applyFont="1" applyFill="1" applyAlignment="1">
      <alignment horizontal="left"/>
    </xf>
    <xf numFmtId="43" fontId="3" fillId="2" borderId="0" xfId="0" applyNumberFormat="1" applyFont="1" applyFill="1"/>
    <xf numFmtId="0" fontId="6" fillId="7" borderId="0" xfId="0" applyFont="1" applyFill="1" applyAlignment="1">
      <alignment horizontal="right"/>
    </xf>
    <xf numFmtId="0" fontId="3" fillId="7" borderId="0" xfId="0" applyFont="1" applyFill="1" applyAlignment="1">
      <alignment horizontal="left"/>
    </xf>
    <xf numFmtId="0" fontId="3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4" fontId="0" fillId="5" borderId="0" xfId="0" applyNumberFormat="1" applyFill="1"/>
    <xf numFmtId="4" fontId="2" fillId="5" borderId="0" xfId="0" applyNumberFormat="1" applyFont="1" applyFill="1" applyAlignment="1">
      <alignment wrapText="1"/>
    </xf>
    <xf numFmtId="4" fontId="2" fillId="0" borderId="0" xfId="0" applyNumberFormat="1" applyFont="1"/>
    <xf numFmtId="4" fontId="0" fillId="5" borderId="0" xfId="0" applyNumberFormat="1" applyFill="1" applyAlignment="1">
      <alignment wrapText="1"/>
    </xf>
    <xf numFmtId="4" fontId="2" fillId="5" borderId="0" xfId="2" applyNumberFormat="1" applyFill="1" applyAlignment="1">
      <alignment wrapText="1"/>
    </xf>
    <xf numFmtId="4" fontId="2" fillId="0" borderId="0" xfId="2" applyNumberFormat="1"/>
    <xf numFmtId="165" fontId="2" fillId="0" borderId="0" xfId="2"/>
    <xf numFmtId="0" fontId="3" fillId="0" borderId="0" xfId="2" applyNumberFormat="1" applyFont="1" applyAlignment="1">
      <alignment horizontal="center"/>
    </xf>
    <xf numFmtId="165" fontId="3" fillId="0" borderId="0" xfId="2" applyFont="1" applyAlignment="1">
      <alignment horizontal="center"/>
    </xf>
    <xf numFmtId="43" fontId="5" fillId="0" borderId="0" xfId="2" applyNumberFormat="1" applyFont="1"/>
    <xf numFmtId="39" fontId="3" fillId="0" borderId="0" xfId="2" applyNumberFormat="1" applyFont="1"/>
    <xf numFmtId="4" fontId="3" fillId="0" borderId="0" xfId="2" applyNumberFormat="1" applyFont="1"/>
    <xf numFmtId="43" fontId="2" fillId="0" borderId="0" xfId="2" applyNumberFormat="1" applyAlignment="1">
      <alignment horizontal="left"/>
    </xf>
    <xf numFmtId="43" fontId="3" fillId="0" borderId="3" xfId="2" applyNumberFormat="1" applyFont="1" applyBorder="1" applyAlignment="1">
      <alignment horizontal="center"/>
    </xf>
    <xf numFmtId="4" fontId="3" fillId="0" borderId="2" xfId="2" applyNumberFormat="1" applyFont="1" applyBorder="1"/>
    <xf numFmtId="4" fontId="0" fillId="5" borderId="0" xfId="0" applyNumberFormat="1" applyFill="1" applyAlignment="1">
      <alignment horizontal="left" wrapText="1"/>
    </xf>
    <xf numFmtId="43" fontId="3" fillId="0" borderId="0" xfId="2" applyNumberFormat="1" applyFont="1" applyAlignment="1">
      <alignment horizontal="center"/>
    </xf>
    <xf numFmtId="4" fontId="0" fillId="8" borderId="0" xfId="0" applyNumberFormat="1" applyFill="1"/>
    <xf numFmtId="4" fontId="3" fillId="8" borderId="2" xfId="0" applyNumberFormat="1" applyFont="1" applyFill="1" applyBorder="1"/>
    <xf numFmtId="4" fontId="3" fillId="8" borderId="0" xfId="0" applyNumberFormat="1" applyFont="1" applyFill="1"/>
    <xf numFmtId="4" fontId="5" fillId="8" borderId="0" xfId="0" applyNumberFormat="1" applyFont="1" applyFill="1"/>
    <xf numFmtId="0" fontId="3" fillId="8" borderId="0" xfId="0" applyFont="1" applyFill="1" applyAlignment="1">
      <alignment horizontal="center" wrapText="1"/>
    </xf>
    <xf numFmtId="0" fontId="11" fillId="0" borderId="0" xfId="3" applyFont="1"/>
    <xf numFmtId="0" fontId="11" fillId="0" borderId="0" xfId="3" applyFont="1" applyAlignment="1">
      <alignment horizontal="center"/>
    </xf>
    <xf numFmtId="0" fontId="10" fillId="0" borderId="0" xfId="3"/>
    <xf numFmtId="0" fontId="10" fillId="0" borderId="0" xfId="3" applyAlignment="1">
      <alignment horizontal="center"/>
    </xf>
    <xf numFmtId="0" fontId="10" fillId="0" borderId="0" xfId="3" quotePrefix="1"/>
    <xf numFmtId="0" fontId="3" fillId="0" borderId="0" xfId="0" applyFont="1" applyAlignment="1">
      <alignment horizontal="center" vertical="center" wrapText="1"/>
    </xf>
    <xf numFmtId="16" fontId="0" fillId="0" borderId="0" xfId="0" applyNumberFormat="1"/>
    <xf numFmtId="0" fontId="2" fillId="0" borderId="0" xfId="2" applyNumberFormat="1"/>
    <xf numFmtId="0" fontId="3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0" fillId="8" borderId="0" xfId="0" applyFill="1"/>
    <xf numFmtId="43" fontId="0" fillId="8" borderId="0" xfId="1" applyFont="1" applyFill="1"/>
    <xf numFmtId="43" fontId="3" fillId="8" borderId="0" xfId="1" applyFont="1" applyFill="1"/>
    <xf numFmtId="165" fontId="2" fillId="8" borderId="0" xfId="2" applyFill="1"/>
    <xf numFmtId="0" fontId="0" fillId="3" borderId="0" xfId="0" applyFill="1"/>
    <xf numFmtId="0" fontId="2" fillId="0" borderId="0" xfId="0" applyFont="1"/>
    <xf numFmtId="4" fontId="3" fillId="5" borderId="2" xfId="0" applyNumberFormat="1" applyFont="1" applyFill="1" applyBorder="1"/>
    <xf numFmtId="0" fontId="2" fillId="0" borderId="0" xfId="0" applyFont="1" applyAlignment="1">
      <alignment horizontal="right"/>
    </xf>
    <xf numFmtId="4" fontId="2" fillId="9" borderId="0" xfId="0" applyNumberFormat="1" applyFont="1" applyFill="1" applyAlignment="1">
      <alignment wrapText="1"/>
    </xf>
    <xf numFmtId="4" fontId="3" fillId="10" borderId="0" xfId="2" applyNumberFormat="1" applyFont="1" applyFill="1"/>
    <xf numFmtId="43" fontId="5" fillId="11" borderId="0" xfId="0" quotePrefix="1" applyNumberFormat="1" applyFont="1" applyFill="1" applyAlignment="1">
      <alignment horizontal="left"/>
    </xf>
    <xf numFmtId="0" fontId="0" fillId="11" borderId="0" xfId="0" applyFill="1"/>
    <xf numFmtId="43" fontId="5" fillId="11" borderId="0" xfId="0" applyNumberFormat="1" applyFont="1" applyFill="1"/>
    <xf numFmtId="166" fontId="0" fillId="0" borderId="0" xfId="0" applyNumberFormat="1"/>
    <xf numFmtId="43" fontId="0" fillId="0" borderId="0" xfId="0" applyNumberFormat="1" applyAlignment="1">
      <alignment horizontal="right"/>
    </xf>
    <xf numFmtId="4" fontId="3" fillId="0" borderId="4" xfId="0" applyNumberFormat="1" applyFont="1" applyBorder="1"/>
    <xf numFmtId="0" fontId="3" fillId="0" borderId="0" xfId="0" applyFont="1"/>
    <xf numFmtId="39" fontId="2" fillId="0" borderId="0" xfId="2" applyNumberFormat="1"/>
    <xf numFmtId="43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wrapText="1"/>
    </xf>
    <xf numFmtId="4" fontId="0" fillId="12" borderId="0" xfId="0" applyNumberFormat="1" applyFill="1"/>
    <xf numFmtId="43" fontId="0" fillId="0" borderId="0" xfId="4" applyFont="1"/>
    <xf numFmtId="43" fontId="0" fillId="12" borderId="0" xfId="4" applyFont="1" applyFill="1"/>
    <xf numFmtId="4" fontId="3" fillId="5" borderId="0" xfId="2" applyNumberFormat="1" applyFont="1" applyFill="1"/>
    <xf numFmtId="4" fontId="3" fillId="13" borderId="5" xfId="0" applyNumberFormat="1" applyFont="1" applyFill="1" applyBorder="1"/>
    <xf numFmtId="164" fontId="5" fillId="13" borderId="6" xfId="0" applyNumberFormat="1" applyFont="1" applyFill="1" applyBorder="1"/>
    <xf numFmtId="4" fontId="0" fillId="13" borderId="6" xfId="0" applyNumberFormat="1" applyFill="1" applyBorder="1"/>
    <xf numFmtId="4" fontId="3" fillId="13" borderId="3" xfId="0" applyNumberFormat="1" applyFont="1" applyFill="1" applyBorder="1"/>
    <xf numFmtId="4" fontId="2" fillId="13" borderId="6" xfId="0" applyNumberFormat="1" applyFont="1" applyFill="1" applyBorder="1"/>
    <xf numFmtId="4" fontId="2" fillId="13" borderId="6" xfId="2" applyNumberFormat="1" applyFill="1" applyBorder="1"/>
    <xf numFmtId="4" fontId="3" fillId="13" borderId="6" xfId="0" applyNumberFormat="1" applyFont="1" applyFill="1" applyBorder="1"/>
    <xf numFmtId="4" fontId="3" fillId="13" borderId="6" xfId="2" applyNumberFormat="1" applyFont="1" applyFill="1" applyBorder="1"/>
    <xf numFmtId="4" fontId="3" fillId="13" borderId="3" xfId="2" applyNumberFormat="1" applyFont="1" applyFill="1" applyBorder="1"/>
    <xf numFmtId="39" fontId="3" fillId="13" borderId="6" xfId="2" applyNumberFormat="1" applyFont="1" applyFill="1" applyBorder="1"/>
    <xf numFmtId="4" fontId="5" fillId="13" borderId="6" xfId="0" applyNumberFormat="1" applyFont="1" applyFill="1" applyBorder="1"/>
    <xf numFmtId="4" fontId="5" fillId="13" borderId="7" xfId="0" applyNumberFormat="1" applyFont="1" applyFill="1" applyBorder="1"/>
    <xf numFmtId="4" fontId="0" fillId="0" borderId="6" xfId="0" applyNumberFormat="1" applyBorder="1"/>
    <xf numFmtId="4" fontId="2" fillId="11" borderId="0" xfId="0" applyNumberFormat="1" applyFont="1" applyFill="1" applyAlignment="1">
      <alignment horizontal="center" wrapText="1"/>
    </xf>
    <xf numFmtId="4" fontId="3" fillId="0" borderId="0" xfId="0" applyNumberFormat="1" applyFont="1" applyAlignment="1">
      <alignment horizontal="center"/>
    </xf>
  </cellXfs>
  <cellStyles count="5">
    <cellStyle name="Comma" xfId="1" builtinId="3"/>
    <cellStyle name="Comma 2" xfId="4" xr:uid="{0162B72C-977A-43CE-911A-7B732F0EAE3C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17E1-11D9-445A-9609-8DB231A63EFF}">
  <dimension ref="A1:BE1084"/>
  <sheetViews>
    <sheetView tabSelected="1" zoomScale="90" zoomScaleNormal="90" zoomScaleSheetLayoutView="100" zoomScalePageLayoutView="75" workbookViewId="0">
      <pane xSplit="5" ySplit="2" topLeftCell="M1010" activePane="bottomRight" state="frozen"/>
      <selection pane="topRight" activeCell="D1" sqref="D1"/>
      <selection pane="bottomLeft" activeCell="A3" sqref="A3"/>
      <selection pane="bottomRight" activeCell="O1042" sqref="O1042"/>
    </sheetView>
  </sheetViews>
  <sheetFormatPr defaultRowHeight="13" x14ac:dyDescent="0.3"/>
  <cols>
    <col min="1" max="1" width="14.7265625" customWidth="1"/>
    <col min="2" max="2" width="7" bestFit="1" customWidth="1"/>
    <col min="3" max="3" width="6.81640625" style="1" customWidth="1"/>
    <col min="4" max="4" width="3.1796875" style="1" customWidth="1"/>
    <col min="5" max="5" width="89.81640625" customWidth="1"/>
    <col min="6" max="8" width="17.26953125" style="3" customWidth="1"/>
    <col min="9" max="11" width="19.26953125" style="3" customWidth="1"/>
    <col min="12" max="14" width="20.54296875" style="3" customWidth="1"/>
    <col min="15" max="17" width="22" style="3" customWidth="1"/>
    <col min="18" max="18" width="22" style="3" bestFit="1" customWidth="1"/>
    <col min="19" max="19" width="2.81640625" customWidth="1"/>
    <col min="20" max="20" width="22" style="3" customWidth="1"/>
    <col min="21" max="21" width="18.81640625" style="92" customWidth="1"/>
    <col min="22" max="22" width="16.1796875" customWidth="1"/>
    <col min="23" max="23" width="11.26953125" bestFit="1" customWidth="1"/>
  </cols>
  <sheetData>
    <row r="1" spans="1:23" ht="39.5" x14ac:dyDescent="0.35">
      <c r="E1" s="2" t="s">
        <v>911</v>
      </c>
      <c r="K1" s="39"/>
      <c r="L1" s="39"/>
      <c r="M1" s="39"/>
      <c r="N1" s="39"/>
      <c r="O1" s="116"/>
      <c r="P1" s="39"/>
      <c r="Q1" s="39"/>
      <c r="T1" s="90" t="s">
        <v>482</v>
      </c>
      <c r="U1" s="81" t="s">
        <v>925</v>
      </c>
    </row>
    <row r="2" spans="1:23" ht="25.5" customHeight="1" x14ac:dyDescent="0.35">
      <c r="A2" s="108" t="s">
        <v>931</v>
      </c>
      <c r="B2" s="87" t="s">
        <v>909</v>
      </c>
      <c r="E2" s="4" t="s">
        <v>1</v>
      </c>
      <c r="F2" s="5">
        <v>45474</v>
      </c>
      <c r="G2" s="5">
        <v>45505</v>
      </c>
      <c r="H2" s="5">
        <v>45536</v>
      </c>
      <c r="I2" s="5">
        <v>45566</v>
      </c>
      <c r="J2" s="5">
        <v>45597</v>
      </c>
      <c r="K2" s="5">
        <v>45627</v>
      </c>
      <c r="L2" s="5">
        <v>45658</v>
      </c>
      <c r="M2" s="91">
        <v>45689</v>
      </c>
      <c r="N2" s="5">
        <v>45717</v>
      </c>
      <c r="O2" s="117">
        <v>45748</v>
      </c>
      <c r="P2" s="5">
        <v>45778</v>
      </c>
      <c r="Q2" s="5">
        <v>45809</v>
      </c>
      <c r="R2" s="7" t="s">
        <v>5</v>
      </c>
      <c r="T2" s="91" t="s">
        <v>483</v>
      </c>
      <c r="U2" s="81" t="s">
        <v>481</v>
      </c>
      <c r="V2" s="88"/>
      <c r="W2" s="88"/>
    </row>
    <row r="3" spans="1:23" x14ac:dyDescent="0.3">
      <c r="E3" s="8"/>
      <c r="O3" s="118"/>
    </row>
    <row r="4" spans="1:23" ht="15.5" x14ac:dyDescent="0.35">
      <c r="D4" s="9" t="s">
        <v>6</v>
      </c>
      <c r="E4" s="10" t="s">
        <v>7</v>
      </c>
      <c r="O4" s="118"/>
    </row>
    <row r="5" spans="1:23" x14ac:dyDescent="0.3">
      <c r="E5" s="8" t="s">
        <v>8</v>
      </c>
      <c r="O5" s="118"/>
    </row>
    <row r="6" spans="1:23" x14ac:dyDescent="0.3">
      <c r="E6" s="8" t="s">
        <v>9</v>
      </c>
      <c r="O6" s="118"/>
    </row>
    <row r="7" spans="1:23" ht="13.5" thickBot="1" x14ac:dyDescent="0.35">
      <c r="E7" s="8" t="s">
        <v>10</v>
      </c>
      <c r="O7" s="118"/>
    </row>
    <row r="8" spans="1:23" ht="13.5" thickBot="1" x14ac:dyDescent="0.35">
      <c r="E8" s="13" t="s">
        <v>11</v>
      </c>
      <c r="O8" s="118"/>
    </row>
    <row r="9" spans="1:23" x14ac:dyDescent="0.3">
      <c r="E9" s="15"/>
      <c r="O9" s="118"/>
    </row>
    <row r="10" spans="1:23" ht="15.5" x14ac:dyDescent="0.35">
      <c r="D10" s="9" t="s">
        <v>6</v>
      </c>
      <c r="E10" s="16" t="s">
        <v>12</v>
      </c>
      <c r="O10" s="118"/>
    </row>
    <row r="11" spans="1:23" x14ac:dyDescent="0.3">
      <c r="E11" s="8" t="s">
        <v>8</v>
      </c>
      <c r="O11" s="118"/>
    </row>
    <row r="12" spans="1:23" x14ac:dyDescent="0.3">
      <c r="E12" s="8" t="s">
        <v>9</v>
      </c>
      <c r="O12" s="118"/>
    </row>
    <row r="13" spans="1:23" ht="13.5" thickBot="1" x14ac:dyDescent="0.35">
      <c r="E13" s="8" t="s">
        <v>10</v>
      </c>
      <c r="O13" s="118"/>
    </row>
    <row r="14" spans="1:23" ht="13.5" thickBot="1" x14ac:dyDescent="0.35">
      <c r="E14" s="18" t="s">
        <v>13</v>
      </c>
      <c r="O14" s="118"/>
    </row>
    <row r="15" spans="1:23" x14ac:dyDescent="0.3">
      <c r="E15" s="15"/>
      <c r="O15" s="118"/>
    </row>
    <row r="16" spans="1:23" ht="15.5" x14ac:dyDescent="0.35">
      <c r="A16" s="97" t="s">
        <v>929</v>
      </c>
      <c r="B16" s="103">
        <v>9</v>
      </c>
      <c r="C16" s="20">
        <v>1</v>
      </c>
      <c r="D16" s="1" t="s">
        <v>14</v>
      </c>
      <c r="E16" s="102" t="s">
        <v>15</v>
      </c>
      <c r="O16" s="118"/>
    </row>
    <row r="17" spans="1:23" x14ac:dyDescent="0.3">
      <c r="A17" s="97" t="s">
        <v>930</v>
      </c>
      <c r="B17" s="103">
        <v>9.1</v>
      </c>
      <c r="E17" s="8" t="s">
        <v>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118">
        <f>IF($B$16=12,'payment summary to Trustee'!$AW17,('payment summary to Trustee'!$BD17-'CDE Intercept  '!$T17)/4)</f>
        <v>0</v>
      </c>
      <c r="P17" s="3">
        <v>0</v>
      </c>
      <c r="Q17" s="3">
        <v>0</v>
      </c>
      <c r="R17" s="3">
        <f>SUM(F17:Q17)</f>
        <v>0</v>
      </c>
      <c r="T17" s="3">
        <f>SUM(F17:J17)</f>
        <v>0</v>
      </c>
      <c r="U17" s="93">
        <f>SUM(K17:Q17)</f>
        <v>0</v>
      </c>
      <c r="V17" s="11">
        <f>SUM(T17:U17)-R17</f>
        <v>0</v>
      </c>
    </row>
    <row r="18" spans="1:23" x14ac:dyDescent="0.3">
      <c r="B18" s="103">
        <v>9.1999999999999993</v>
      </c>
      <c r="E18" s="8" t="s">
        <v>9</v>
      </c>
      <c r="F18" s="3">
        <v>250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118">
        <f>IF($B$40=12,'payment summary to Trustee'!$AW18,('payment summary to Trustee'!$BD18-'CDE Intercept  '!$T18)/4)</f>
        <v>0</v>
      </c>
      <c r="P18" s="3">
        <v>0</v>
      </c>
      <c r="Q18" s="3">
        <v>0</v>
      </c>
      <c r="R18" s="3">
        <f>SUM(F18:Q18)</f>
        <v>250</v>
      </c>
      <c r="T18" s="3">
        <f t="shared" ref="T18" si="0">SUM(F18:J18)</f>
        <v>250</v>
      </c>
      <c r="U18" s="93">
        <f>SUM(K18:Q18)</f>
        <v>0</v>
      </c>
      <c r="V18" s="11">
        <f>SUM(T18:U18)-R18</f>
        <v>0</v>
      </c>
    </row>
    <row r="19" spans="1:23" ht="13.5" thickBot="1" x14ac:dyDescent="0.35">
      <c r="A19" t="s">
        <v>16</v>
      </c>
      <c r="B19" s="103">
        <v>9.3000000000000007</v>
      </c>
      <c r="E19" s="8" t="s">
        <v>10</v>
      </c>
      <c r="F19" s="3">
        <v>13937.5</v>
      </c>
      <c r="G19" s="3">
        <v>13937.5</v>
      </c>
      <c r="H19" s="3">
        <v>13937.5</v>
      </c>
      <c r="I19" s="3">
        <v>13937.5</v>
      </c>
      <c r="J19" s="3">
        <v>13937.5</v>
      </c>
      <c r="K19" s="3">
        <v>13937.5</v>
      </c>
      <c r="L19" s="3">
        <v>13937.5</v>
      </c>
      <c r="M19" s="3">
        <v>13937.5</v>
      </c>
      <c r="N19" s="3">
        <v>0</v>
      </c>
      <c r="O19" s="118">
        <f>13937.5+13937.5+13979.17+13979.17</f>
        <v>55833.34</v>
      </c>
      <c r="P19" s="3">
        <v>0</v>
      </c>
      <c r="Q19" s="3">
        <v>0</v>
      </c>
      <c r="R19" s="3">
        <f>SUM(F19:Q19)</f>
        <v>167333.34</v>
      </c>
      <c r="T19" s="3">
        <f>SUM(F19:J19)</f>
        <v>69687.5</v>
      </c>
      <c r="U19" s="94">
        <f>SUM(K19:Q19)</f>
        <v>97645.84</v>
      </c>
      <c r="V19" s="11">
        <f>SUM(T19:U19)-R19</f>
        <v>0</v>
      </c>
    </row>
    <row r="20" spans="1:23" ht="13.5" thickBot="1" x14ac:dyDescent="0.35">
      <c r="E20" s="18" t="s">
        <v>17</v>
      </c>
      <c r="F20" s="22">
        <f>SUM(F17:F19)</f>
        <v>14187.5</v>
      </c>
      <c r="G20" s="22">
        <f t="shared" ref="G20:N20" si="1">SUM(G17:G19)</f>
        <v>13937.5</v>
      </c>
      <c r="H20" s="22">
        <f t="shared" si="1"/>
        <v>13937.5</v>
      </c>
      <c r="I20" s="22">
        <f t="shared" si="1"/>
        <v>13937.5</v>
      </c>
      <c r="J20" s="22">
        <f t="shared" si="1"/>
        <v>13937.5</v>
      </c>
      <c r="K20" s="22">
        <f t="shared" si="1"/>
        <v>13937.5</v>
      </c>
      <c r="L20" s="22">
        <f t="shared" si="1"/>
        <v>13937.5</v>
      </c>
      <c r="M20" s="22">
        <f t="shared" si="1"/>
        <v>13937.5</v>
      </c>
      <c r="N20" s="22">
        <f t="shared" si="1"/>
        <v>0</v>
      </c>
      <c r="O20" s="119">
        <f>SUM(O17:O19)</f>
        <v>55833.34</v>
      </c>
      <c r="P20" s="22">
        <f>SUM(P17:P19)</f>
        <v>0</v>
      </c>
      <c r="Q20" s="22">
        <f>SUM(Q17:Q19)</f>
        <v>0</v>
      </c>
      <c r="R20" s="22">
        <f>SUM(R17:R19)</f>
        <v>167583.34</v>
      </c>
      <c r="T20" s="39">
        <f>SUM(T17:T19)</f>
        <v>69937.5</v>
      </c>
      <c r="U20" s="78">
        <f>SUM(U17:U19)</f>
        <v>97645.84</v>
      </c>
      <c r="V20" s="11">
        <f>SUM(T20:U20)-R20</f>
        <v>0</v>
      </c>
      <c r="W20" s="3"/>
    </row>
    <row r="21" spans="1:23" x14ac:dyDescent="0.3">
      <c r="E21" s="23"/>
      <c r="O21" s="118"/>
    </row>
    <row r="22" spans="1:23" ht="15.75" customHeight="1" x14ac:dyDescent="0.35">
      <c r="B22">
        <v>12</v>
      </c>
      <c r="C22" s="20">
        <f>+C16+1</f>
        <v>2</v>
      </c>
      <c r="D22" s="24" t="s">
        <v>14</v>
      </c>
      <c r="E22" s="25" t="s">
        <v>18</v>
      </c>
      <c r="O22" s="118"/>
    </row>
    <row r="23" spans="1:23" x14ac:dyDescent="0.3">
      <c r="B23">
        <v>12.1</v>
      </c>
      <c r="E23" s="8" t="s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118">
        <v>0</v>
      </c>
      <c r="P23" s="3">
        <v>0</v>
      </c>
      <c r="Q23" s="3">
        <v>0</v>
      </c>
      <c r="R23" s="3">
        <f>SUM(F23:Q23)</f>
        <v>0</v>
      </c>
      <c r="T23" s="3">
        <f>SUM(F23:J23)</f>
        <v>0</v>
      </c>
      <c r="U23" s="93">
        <f>SUM(K23:Q23)</f>
        <v>0</v>
      </c>
      <c r="V23" s="11">
        <f>SUM(T23:U23)-R23</f>
        <v>0</v>
      </c>
    </row>
    <row r="24" spans="1:23" x14ac:dyDescent="0.3">
      <c r="B24">
        <v>12.2</v>
      </c>
      <c r="E24" s="8" t="s">
        <v>9</v>
      </c>
      <c r="F24" s="3">
        <v>250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118">
        <v>0</v>
      </c>
      <c r="P24" s="3">
        <v>0</v>
      </c>
      <c r="Q24" s="3">
        <v>0</v>
      </c>
      <c r="R24" s="3">
        <f>SUM(F24:Q24)</f>
        <v>250</v>
      </c>
      <c r="T24" s="3">
        <f t="shared" ref="T24:T25" si="2">SUM(F24:J24)</f>
        <v>250</v>
      </c>
      <c r="U24" s="93">
        <f>SUM(K24:Q24)</f>
        <v>0</v>
      </c>
      <c r="V24" s="11">
        <f>SUM(T24:U24)-R24</f>
        <v>0</v>
      </c>
    </row>
    <row r="25" spans="1:23" ht="13.5" thickBot="1" x14ac:dyDescent="0.35">
      <c r="A25" t="s">
        <v>19</v>
      </c>
      <c r="B25">
        <v>12.3</v>
      </c>
      <c r="E25" s="8" t="s">
        <v>10</v>
      </c>
      <c r="F25" s="3">
        <v>55794.79</v>
      </c>
      <c r="G25" s="3">
        <v>55794.79</v>
      </c>
      <c r="H25" s="3">
        <v>55794.79</v>
      </c>
      <c r="I25" s="3">
        <v>55794.79</v>
      </c>
      <c r="J25" s="3">
        <v>55794.79</v>
      </c>
      <c r="K25" s="3">
        <v>55794.79</v>
      </c>
      <c r="L25" s="3">
        <v>55794.79</v>
      </c>
      <c r="M25" s="3">
        <v>55794.79</v>
      </c>
      <c r="N25" s="3">
        <v>55794.79</v>
      </c>
      <c r="O25" s="118">
        <v>55794.79</v>
      </c>
      <c r="P25" s="3">
        <v>55794.79</v>
      </c>
      <c r="Q25" s="3">
        <v>55794.79</v>
      </c>
      <c r="R25" s="3">
        <f>SUM(F25:Q25)</f>
        <v>669537.48</v>
      </c>
      <c r="T25" s="3">
        <f t="shared" si="2"/>
        <v>278973.95</v>
      </c>
      <c r="U25" s="94">
        <f>SUM(K25:Q25)</f>
        <v>390563.52999999997</v>
      </c>
      <c r="V25" s="11">
        <f>SUM(T25:U25)-R25</f>
        <v>0</v>
      </c>
    </row>
    <row r="26" spans="1:23" ht="13.5" thickBot="1" x14ac:dyDescent="0.35">
      <c r="E26" s="13" t="s">
        <v>20</v>
      </c>
      <c r="F26" s="22">
        <f>SUM(F23:F25)</f>
        <v>56044.79</v>
      </c>
      <c r="G26" s="22">
        <f t="shared" ref="G26:R26" si="3">SUM(G23:G25)</f>
        <v>55794.79</v>
      </c>
      <c r="H26" s="22">
        <f t="shared" si="3"/>
        <v>55794.79</v>
      </c>
      <c r="I26" s="22">
        <f t="shared" si="3"/>
        <v>55794.79</v>
      </c>
      <c r="J26" s="22">
        <f t="shared" si="3"/>
        <v>55794.79</v>
      </c>
      <c r="K26" s="22">
        <f t="shared" si="3"/>
        <v>55794.79</v>
      </c>
      <c r="L26" s="22">
        <f t="shared" si="3"/>
        <v>55794.79</v>
      </c>
      <c r="M26" s="22">
        <f t="shared" si="3"/>
        <v>55794.79</v>
      </c>
      <c r="N26" s="22">
        <f t="shared" si="3"/>
        <v>55794.79</v>
      </c>
      <c r="O26" s="119">
        <f t="shared" si="3"/>
        <v>55794.79</v>
      </c>
      <c r="P26" s="22">
        <f t="shared" si="3"/>
        <v>55794.79</v>
      </c>
      <c r="Q26" s="22">
        <f t="shared" si="3"/>
        <v>55794.79</v>
      </c>
      <c r="R26" s="22">
        <f t="shared" si="3"/>
        <v>669787.48</v>
      </c>
      <c r="T26" s="39">
        <f>SUM(T23:T25)</f>
        <v>279223.95</v>
      </c>
      <c r="U26" s="78">
        <f>SUM(U23:U25)</f>
        <v>390563.52999999997</v>
      </c>
      <c r="V26" s="11">
        <f>SUM(T26:U26)-R26</f>
        <v>0</v>
      </c>
    </row>
    <row r="27" spans="1:23" x14ac:dyDescent="0.3">
      <c r="E27" s="23"/>
      <c r="O27" s="118"/>
    </row>
    <row r="28" spans="1:23" ht="15.75" customHeight="1" x14ac:dyDescent="0.35">
      <c r="B28">
        <v>12</v>
      </c>
      <c r="C28" s="20">
        <f>+C22+1</f>
        <v>3</v>
      </c>
      <c r="D28" s="24" t="s">
        <v>14</v>
      </c>
      <c r="E28" s="25" t="s">
        <v>21</v>
      </c>
      <c r="O28" s="118"/>
    </row>
    <row r="29" spans="1:23" x14ac:dyDescent="0.3">
      <c r="B29">
        <v>12.1</v>
      </c>
      <c r="E29" s="8" t="s">
        <v>8</v>
      </c>
      <c r="F29" s="28">
        <v>438.75</v>
      </c>
      <c r="G29" s="28">
        <v>438.75</v>
      </c>
      <c r="H29" s="28">
        <v>438.75</v>
      </c>
      <c r="I29" s="28">
        <v>438.75</v>
      </c>
      <c r="J29" s="28">
        <v>438.75</v>
      </c>
      <c r="K29" s="3">
        <v>438.75</v>
      </c>
      <c r="L29" s="3">
        <v>438.75</v>
      </c>
      <c r="M29" s="3">
        <v>438.75</v>
      </c>
      <c r="N29" s="3">
        <v>438.75</v>
      </c>
      <c r="O29" s="118">
        <v>438.75</v>
      </c>
      <c r="P29" s="3">
        <v>438.75</v>
      </c>
      <c r="Q29" s="3">
        <v>438.75</v>
      </c>
      <c r="R29" s="3">
        <f>SUM(F29:Q29)</f>
        <v>5265</v>
      </c>
      <c r="T29" s="3">
        <f>SUM(F29:J29)</f>
        <v>2193.75</v>
      </c>
      <c r="U29" s="93">
        <f>SUM(K29:Q29)</f>
        <v>3071.25</v>
      </c>
      <c r="V29" s="11">
        <f>SUM(T29:U29)-R29</f>
        <v>0</v>
      </c>
    </row>
    <row r="30" spans="1:23" x14ac:dyDescent="0.3">
      <c r="B30">
        <v>12.2</v>
      </c>
      <c r="E30" s="8" t="s">
        <v>9</v>
      </c>
      <c r="F30" s="28">
        <v>0</v>
      </c>
      <c r="K30" s="3">
        <v>0</v>
      </c>
      <c r="L30" s="3">
        <v>0</v>
      </c>
      <c r="M30" s="3">
        <v>0</v>
      </c>
      <c r="N30" s="3">
        <v>0</v>
      </c>
      <c r="O30" s="118">
        <v>0</v>
      </c>
      <c r="P30" s="3">
        <v>0</v>
      </c>
      <c r="Q30" s="3">
        <v>0</v>
      </c>
      <c r="R30" s="3">
        <f>SUM(F30:Q30)</f>
        <v>0</v>
      </c>
      <c r="T30" s="3">
        <f t="shared" ref="T30:T31" si="4">SUM(F30:J30)</f>
        <v>0</v>
      </c>
      <c r="U30" s="93">
        <f>SUM(K30:Q30)</f>
        <v>0</v>
      </c>
      <c r="V30" s="11">
        <f>SUM(T30:U30)-R30</f>
        <v>0</v>
      </c>
    </row>
    <row r="31" spans="1:23" ht="13.5" thickBot="1" x14ac:dyDescent="0.35">
      <c r="A31" t="s">
        <v>22</v>
      </c>
      <c r="B31">
        <v>12.3</v>
      </c>
      <c r="E31" s="8" t="s">
        <v>10</v>
      </c>
      <c r="F31" s="3">
        <v>42069.79</v>
      </c>
      <c r="G31" s="3">
        <v>42006.25</v>
      </c>
      <c r="H31" s="3">
        <v>42006.25</v>
      </c>
      <c r="I31" s="3">
        <v>42006.25</v>
      </c>
      <c r="J31" s="3">
        <v>42006.25</v>
      </c>
      <c r="K31" s="3">
        <v>42006.25</v>
      </c>
      <c r="L31" s="3">
        <v>42006.25</v>
      </c>
      <c r="M31" s="3">
        <v>42006.25</v>
      </c>
      <c r="N31" s="3">
        <v>42006.25</v>
      </c>
      <c r="O31" s="118">
        <v>42006.25</v>
      </c>
      <c r="P31" s="3">
        <v>42006.25</v>
      </c>
      <c r="Q31" s="3">
        <v>42006.25</v>
      </c>
      <c r="R31" s="3">
        <f>SUM(F31:Q31)</f>
        <v>504138.54000000004</v>
      </c>
      <c r="T31" s="3">
        <f t="shared" si="4"/>
        <v>210094.79</v>
      </c>
      <c r="U31" s="94">
        <f>SUM(K31:Q31)</f>
        <v>294043.75</v>
      </c>
      <c r="V31" s="11">
        <f>SUM(T31:U31)-R31</f>
        <v>0</v>
      </c>
    </row>
    <row r="32" spans="1:23" ht="13.5" thickBot="1" x14ac:dyDescent="0.35">
      <c r="E32" s="13" t="s">
        <v>23</v>
      </c>
      <c r="F32" s="22">
        <f>SUM(F29:F31)</f>
        <v>42508.54</v>
      </c>
      <c r="G32" s="22">
        <f t="shared" ref="G32:R32" si="5">SUM(G29:G31)</f>
        <v>42445</v>
      </c>
      <c r="H32" s="22">
        <f t="shared" si="5"/>
        <v>42445</v>
      </c>
      <c r="I32" s="22">
        <f t="shared" si="5"/>
        <v>42445</v>
      </c>
      <c r="J32" s="22">
        <f t="shared" si="5"/>
        <v>42445</v>
      </c>
      <c r="K32" s="22">
        <f t="shared" si="5"/>
        <v>42445</v>
      </c>
      <c r="L32" s="22">
        <f t="shared" si="5"/>
        <v>42445</v>
      </c>
      <c r="M32" s="22">
        <f t="shared" si="5"/>
        <v>42445</v>
      </c>
      <c r="N32" s="22">
        <f t="shared" si="5"/>
        <v>42445</v>
      </c>
      <c r="O32" s="119">
        <f t="shared" si="5"/>
        <v>42445</v>
      </c>
      <c r="P32" s="22">
        <f t="shared" si="5"/>
        <v>42445</v>
      </c>
      <c r="Q32" s="22">
        <f t="shared" si="5"/>
        <v>42445</v>
      </c>
      <c r="R32" s="22">
        <f t="shared" si="5"/>
        <v>509403.54000000004</v>
      </c>
      <c r="T32" s="39">
        <f>SUM(T29:T31)</f>
        <v>212288.54</v>
      </c>
      <c r="U32" s="78">
        <f>SUM(U29:U31)</f>
        <v>297115</v>
      </c>
      <c r="V32" s="11">
        <f>SUM(T32:U32)-R32</f>
        <v>0</v>
      </c>
    </row>
    <row r="33" spans="1:24" x14ac:dyDescent="0.3">
      <c r="E33" s="15"/>
      <c r="O33" s="118"/>
    </row>
    <row r="34" spans="1:24" ht="15.75" customHeight="1" x14ac:dyDescent="0.35">
      <c r="C34" s="20"/>
      <c r="D34" s="30" t="s">
        <v>6</v>
      </c>
      <c r="E34" s="10" t="s">
        <v>24</v>
      </c>
      <c r="O34" s="118"/>
    </row>
    <row r="35" spans="1:24" x14ac:dyDescent="0.3">
      <c r="E35" s="8" t="s">
        <v>8</v>
      </c>
      <c r="O35" s="118"/>
    </row>
    <row r="36" spans="1:24" x14ac:dyDescent="0.3">
      <c r="E36" s="8" t="s">
        <v>9</v>
      </c>
      <c r="O36" s="118"/>
    </row>
    <row r="37" spans="1:24" ht="13.5" thickBot="1" x14ac:dyDescent="0.35">
      <c r="A37" t="s">
        <v>25</v>
      </c>
      <c r="E37" s="8" t="s">
        <v>10</v>
      </c>
      <c r="O37" s="118"/>
    </row>
    <row r="38" spans="1:24" ht="13.5" thickBot="1" x14ac:dyDescent="0.35">
      <c r="E38" s="13" t="s">
        <v>26</v>
      </c>
      <c r="O38" s="118"/>
    </row>
    <row r="39" spans="1:24" x14ac:dyDescent="0.3">
      <c r="E39" s="15"/>
      <c r="O39" s="118"/>
    </row>
    <row r="40" spans="1:24" ht="15.75" customHeight="1" x14ac:dyDescent="0.35">
      <c r="B40">
        <v>9</v>
      </c>
      <c r="C40" s="20">
        <f>+C28+1</f>
        <v>4</v>
      </c>
      <c r="D40" s="24" t="s">
        <v>14</v>
      </c>
      <c r="E40" s="25" t="s">
        <v>27</v>
      </c>
      <c r="O40" s="118"/>
    </row>
    <row r="41" spans="1:24" x14ac:dyDescent="0.3">
      <c r="B41">
        <v>9.1</v>
      </c>
      <c r="E41" s="8" t="s">
        <v>8</v>
      </c>
      <c r="F41" s="3">
        <v>209.58</v>
      </c>
      <c r="G41" s="3">
        <v>209.58</v>
      </c>
      <c r="H41" s="3">
        <v>209.58</v>
      </c>
      <c r="I41" s="3">
        <v>209.58</v>
      </c>
      <c r="J41" s="3">
        <v>209.58</v>
      </c>
      <c r="K41" s="3">
        <f>IF($B$40=12,'payment summary to Trustee'!$AW41,('payment summary to Trustee'!$BD41-'CDE Intercept  '!$T41)/4)</f>
        <v>366.76499999999987</v>
      </c>
      <c r="L41" s="3">
        <f>IF($B$40=12,'payment summary to Trustee'!$AW41,('payment summary to Trustee'!$BD41-'CDE Intercept  '!$T41)/4)</f>
        <v>366.76499999999987</v>
      </c>
      <c r="M41" s="3">
        <f>IF($B$40=12,'payment summary to Trustee'!$AW41,('payment summary to Trustee'!$BD41-'CDE Intercept  '!$T41)/4)</f>
        <v>366.76499999999987</v>
      </c>
      <c r="N41" s="3">
        <v>0</v>
      </c>
      <c r="O41" s="118">
        <f>IF($B$40=12,'payment summary to Trustee'!$AW41,('payment summary to Trustee'!$BD41-'CDE Intercept  '!$T41)/4)</f>
        <v>366.76499999999987</v>
      </c>
      <c r="P41" s="3">
        <v>0</v>
      </c>
      <c r="Q41" s="3">
        <v>0</v>
      </c>
      <c r="R41" s="3">
        <f>SUM(F41:Q41)</f>
        <v>2514.9599999999996</v>
      </c>
      <c r="T41" s="3">
        <f>SUM(F41:J41)</f>
        <v>1047.9000000000001</v>
      </c>
      <c r="U41" s="93">
        <f>SUM(K41:Q41)</f>
        <v>1467.0599999999995</v>
      </c>
      <c r="V41" s="11">
        <f>SUM(T41:U41)-R41</f>
        <v>0</v>
      </c>
      <c r="W41" s="8"/>
      <c r="X41" s="8"/>
    </row>
    <row r="42" spans="1:24" x14ac:dyDescent="0.3">
      <c r="B42">
        <v>9.1999999999999993</v>
      </c>
      <c r="E42" s="8" t="s">
        <v>9</v>
      </c>
      <c r="F42" s="28">
        <v>250</v>
      </c>
      <c r="G42" s="28">
        <v>0</v>
      </c>
      <c r="H42" s="28">
        <v>0</v>
      </c>
      <c r="I42" s="28">
        <v>0</v>
      </c>
      <c r="J42" s="28">
        <v>0</v>
      </c>
      <c r="K42" s="3">
        <f>IF($B$40=12,'payment summary to Trustee'!$AW42,('payment summary to Trustee'!$BD42-'CDE Intercept  '!$T42)/4)</f>
        <v>0</v>
      </c>
      <c r="L42" s="3">
        <f>IF($B$40=12,'payment summary to Trustee'!$AW42,('payment summary to Trustee'!$BD42-'CDE Intercept  '!$T42)/4)</f>
        <v>0</v>
      </c>
      <c r="M42" s="3">
        <f>IF($B$40=12,'payment summary to Trustee'!$AW42,('payment summary to Trustee'!$BD42-'CDE Intercept  '!$T42)/4)</f>
        <v>0</v>
      </c>
      <c r="N42" s="3">
        <f>IF($B$40=12,'payment summary to Trustee'!$AW42,('payment summary to Trustee'!$BD42-'CDE Intercept  '!$T42)/4)</f>
        <v>0</v>
      </c>
      <c r="O42" s="118">
        <f>IF($B$40=12,'payment summary to Trustee'!$AW42,('payment summary to Trustee'!$BD42-'CDE Intercept  '!$T42)/4)</f>
        <v>0</v>
      </c>
      <c r="P42" s="3">
        <v>0</v>
      </c>
      <c r="Q42" s="3">
        <v>0</v>
      </c>
      <c r="R42" s="3">
        <f>SUM(F42:Q42)</f>
        <v>250</v>
      </c>
      <c r="T42" s="3">
        <f t="shared" ref="T42:T43" si="6">SUM(F42:J42)</f>
        <v>250</v>
      </c>
      <c r="U42" s="93">
        <f>SUM(K42:Q42)</f>
        <v>0</v>
      </c>
      <c r="V42" s="11">
        <f>SUM(T42:U42)-R42</f>
        <v>0</v>
      </c>
    </row>
    <row r="43" spans="1:24" ht="13.5" thickBot="1" x14ac:dyDescent="0.35">
      <c r="A43" t="s">
        <v>28</v>
      </c>
      <c r="B43">
        <v>9.3000000000000007</v>
      </c>
      <c r="E43" s="8" t="s">
        <v>10</v>
      </c>
      <c r="F43" s="3">
        <f>7916.67+22839.06</f>
        <v>30755.730000000003</v>
      </c>
      <c r="G43" s="3">
        <f t="shared" ref="G43:J43" si="7">7916.67+22839.06</f>
        <v>30755.730000000003</v>
      </c>
      <c r="H43" s="3">
        <f t="shared" si="7"/>
        <v>30755.730000000003</v>
      </c>
      <c r="I43" s="3">
        <f t="shared" si="7"/>
        <v>30755.730000000003</v>
      </c>
      <c r="J43" s="3">
        <f t="shared" si="7"/>
        <v>30755.730000000003</v>
      </c>
      <c r="K43" s="3">
        <f>IF($B$40=12,'payment summary to Trustee'!$AW43,('payment summary to Trustee'!$BD43-'CDE Intercept  '!$T43)/4)</f>
        <v>53645.437500000015</v>
      </c>
      <c r="L43" s="3">
        <f>IF($B$40=12,'payment summary to Trustee'!$AW43,('payment summary to Trustee'!$BD43-'CDE Intercept  '!$T43)/4)</f>
        <v>53645.437500000015</v>
      </c>
      <c r="M43" s="3">
        <f>IF($B$40=12,'payment summary to Trustee'!$AW43,('payment summary to Trustee'!$BD43-'CDE Intercept  '!$T43)/4)</f>
        <v>53645.437500000015</v>
      </c>
      <c r="N43" s="3">
        <v>0</v>
      </c>
      <c r="O43" s="118">
        <f>IF($B$40=12,'payment summary to Trustee'!$AW43,('payment summary to Trustee'!$BD43-'CDE Intercept  '!$T43)/4)</f>
        <v>53645.437500000015</v>
      </c>
      <c r="P43" s="3">
        <v>0</v>
      </c>
      <c r="Q43" s="3">
        <v>0</v>
      </c>
      <c r="R43" s="3">
        <f>SUM(F43:Q43)</f>
        <v>368360.4</v>
      </c>
      <c r="T43" s="3">
        <f t="shared" si="6"/>
        <v>153778.65000000002</v>
      </c>
      <c r="U43" s="94">
        <f>SUM(K43:Q43)</f>
        <v>214581.75000000006</v>
      </c>
      <c r="V43" s="11">
        <f>SUM(T43:U43)-R43</f>
        <v>0</v>
      </c>
      <c r="W43" s="8"/>
    </row>
    <row r="44" spans="1:24" ht="13.5" thickBot="1" x14ac:dyDescent="0.35">
      <c r="E44" s="13" t="s">
        <v>29</v>
      </c>
      <c r="F44" s="22">
        <f>SUM(F41:F43)</f>
        <v>31215.310000000005</v>
      </c>
      <c r="G44" s="22">
        <f t="shared" ref="G44:M44" si="8">SUM(G41:G43)</f>
        <v>30965.310000000005</v>
      </c>
      <c r="H44" s="22">
        <f t="shared" si="8"/>
        <v>30965.310000000005</v>
      </c>
      <c r="I44" s="22">
        <f t="shared" si="8"/>
        <v>30965.310000000005</v>
      </c>
      <c r="J44" s="22">
        <f t="shared" si="8"/>
        <v>30965.310000000005</v>
      </c>
      <c r="K44" s="22">
        <f t="shared" si="8"/>
        <v>54012.202500000014</v>
      </c>
      <c r="L44" s="22">
        <f t="shared" si="8"/>
        <v>54012.202500000014</v>
      </c>
      <c r="M44" s="22">
        <f t="shared" si="8"/>
        <v>54012.202500000014</v>
      </c>
      <c r="N44" s="22">
        <f>SUM(N41:N43)</f>
        <v>0</v>
      </c>
      <c r="O44" s="119">
        <f>SUM(O41:O43)</f>
        <v>54012.202500000014</v>
      </c>
      <c r="P44" s="22">
        <f>SUM(P41:P43)</f>
        <v>0</v>
      </c>
      <c r="Q44" s="22">
        <f>SUM(Q41:Q43)</f>
        <v>0</v>
      </c>
      <c r="R44" s="22">
        <f>SUM(R41:R43)</f>
        <v>371125.36000000004</v>
      </c>
      <c r="T44" s="39">
        <f>SUM(T41:T43)</f>
        <v>155076.55000000002</v>
      </c>
      <c r="U44" s="78">
        <f>SUM(U41:U43)</f>
        <v>216048.81000000006</v>
      </c>
      <c r="V44" s="11">
        <f>SUM(T44:U44)-R44</f>
        <v>0</v>
      </c>
    </row>
    <row r="45" spans="1:24" x14ac:dyDescent="0.3">
      <c r="E45" s="15"/>
      <c r="O45" s="118"/>
    </row>
    <row r="46" spans="1:24" ht="15.75" customHeight="1" x14ac:dyDescent="0.35">
      <c r="B46">
        <v>9</v>
      </c>
      <c r="C46" s="20">
        <f>+C40+1</f>
        <v>5</v>
      </c>
      <c r="D46" s="24" t="s">
        <v>14</v>
      </c>
      <c r="E46" s="25" t="s">
        <v>30</v>
      </c>
      <c r="O46" s="118"/>
    </row>
    <row r="47" spans="1:24" x14ac:dyDescent="0.3">
      <c r="B47">
        <v>9.1</v>
      </c>
      <c r="E47" s="8" t="s">
        <v>8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">
        <f>IF($B$46=12,'payment summary to Trustee'!$AW47,('payment summary to Trustee'!$BD47-'CDE Intercept  '!$T47)/4)</f>
        <v>0</v>
      </c>
      <c r="L47" s="3">
        <f>IF($B$46=12,'payment summary to Trustee'!$AW47,('payment summary to Trustee'!$BD47-'CDE Intercept  '!$T47)/4)</f>
        <v>0</v>
      </c>
      <c r="M47" s="3">
        <f>IF($B$46=12,'payment summary to Trustee'!$AW47,('payment summary to Trustee'!$BD47-'CDE Intercept  '!$T47)/4)</f>
        <v>0</v>
      </c>
      <c r="N47" s="3">
        <v>0</v>
      </c>
      <c r="O47" s="118">
        <f>IF($B$46=12,'payment summary to Trustee'!$AW47,('payment summary to Trustee'!$BD47-'CDE Intercept  '!$T47)/4)</f>
        <v>0</v>
      </c>
      <c r="P47" s="3">
        <v>0</v>
      </c>
      <c r="Q47" s="31">
        <v>0</v>
      </c>
      <c r="R47" s="3">
        <f>SUM(F47:Q47)</f>
        <v>0</v>
      </c>
      <c r="T47" s="3">
        <f>SUM(F47:J47)</f>
        <v>0</v>
      </c>
      <c r="U47" s="93">
        <f>SUM(K47:Q47)</f>
        <v>0</v>
      </c>
      <c r="V47" s="11">
        <f>SUM(T47:U47)-R47</f>
        <v>0</v>
      </c>
    </row>
    <row r="48" spans="1:24" x14ac:dyDescent="0.3">
      <c r="B48">
        <v>9.1999999999999993</v>
      </c>
      <c r="E48" s="8" t="s">
        <v>9</v>
      </c>
      <c r="F48" s="28">
        <v>250</v>
      </c>
      <c r="G48" s="31">
        <v>0</v>
      </c>
      <c r="H48" s="31">
        <v>0</v>
      </c>
      <c r="I48" s="31">
        <v>0</v>
      </c>
      <c r="J48" s="31">
        <v>0</v>
      </c>
      <c r="K48" s="3">
        <f>IF($B$46=12,'payment summary to Trustee'!$AW48,('payment summary to Trustee'!$BD48-'CDE Intercept  '!$T48)/4)</f>
        <v>0</v>
      </c>
      <c r="L48" s="3">
        <f>IF($B$46=12,'payment summary to Trustee'!$AW48,('payment summary to Trustee'!$BD48-'CDE Intercept  '!$T48)/4)</f>
        <v>0</v>
      </c>
      <c r="M48" s="3">
        <f>IF($B$46=12,'payment summary to Trustee'!$AW48,('payment summary to Trustee'!$BD48-'CDE Intercept  '!$T48)/4)</f>
        <v>0</v>
      </c>
      <c r="N48" s="3">
        <v>0</v>
      </c>
      <c r="O48" s="118">
        <f>IF($B$46=12,'payment summary to Trustee'!$AW48,('payment summary to Trustee'!$BD48-'CDE Intercept  '!$T48)/4)</f>
        <v>0</v>
      </c>
      <c r="P48" s="3">
        <v>0</v>
      </c>
      <c r="Q48" s="31">
        <v>0</v>
      </c>
      <c r="R48" s="3">
        <f>SUM(F48:Q48)</f>
        <v>250</v>
      </c>
      <c r="T48" s="3">
        <f t="shared" ref="T48:T49" si="9">SUM(F48:J48)</f>
        <v>250</v>
      </c>
      <c r="U48" s="93">
        <f>SUM(K48:Q48)</f>
        <v>0</v>
      </c>
      <c r="V48" s="11">
        <f>SUM(T48:U48)-R48</f>
        <v>0</v>
      </c>
    </row>
    <row r="49" spans="1:22" ht="13.5" thickBot="1" x14ac:dyDescent="0.35">
      <c r="A49" t="s">
        <v>31</v>
      </c>
      <c r="B49">
        <v>9.3000000000000007</v>
      </c>
      <c r="E49" s="8" t="s">
        <v>10</v>
      </c>
      <c r="F49" s="31">
        <f>16666.67+6392.71</f>
        <v>23059.379999999997</v>
      </c>
      <c r="G49" s="31">
        <f>16666.67+6392.71</f>
        <v>23059.379999999997</v>
      </c>
      <c r="H49" s="31">
        <f t="shared" ref="H49:J49" si="10">16666.67+6392.71</f>
        <v>23059.379999999997</v>
      </c>
      <c r="I49" s="31">
        <f t="shared" si="10"/>
        <v>23059.379999999997</v>
      </c>
      <c r="J49" s="31">
        <f t="shared" si="10"/>
        <v>23059.379999999997</v>
      </c>
      <c r="K49" s="3">
        <f>IF($B$46=12,'payment summary to Trustee'!$AW49,('payment summary to Trustee'!$BD49-'CDE Intercept  '!$T49)/4)</f>
        <v>39978.905000000006</v>
      </c>
      <c r="L49" s="3">
        <f>IF($B$46=12,'payment summary to Trustee'!$AW49,('payment summary to Trustee'!$BD49-'CDE Intercept  '!$T49)/4)</f>
        <v>39978.905000000006</v>
      </c>
      <c r="M49" s="3">
        <f>IF($B$46=12,'payment summary to Trustee'!$AW49,('payment summary to Trustee'!$BD49-'CDE Intercept  '!$T49)/4)</f>
        <v>39978.905000000006</v>
      </c>
      <c r="N49" s="3">
        <v>0</v>
      </c>
      <c r="O49" s="118">
        <f>IF($B$46=12,'payment summary to Trustee'!$AW49,('payment summary to Trustee'!$BD49-'CDE Intercept  '!$T49)/4)</f>
        <v>39978.905000000006</v>
      </c>
      <c r="P49" s="3">
        <v>0</v>
      </c>
      <c r="Q49" s="31">
        <v>0</v>
      </c>
      <c r="R49" s="3">
        <f>SUM(F49:Q49)</f>
        <v>275212.52</v>
      </c>
      <c r="T49" s="3">
        <f t="shared" si="9"/>
        <v>115296.9</v>
      </c>
      <c r="U49" s="94">
        <f>SUM(K49:Q49)</f>
        <v>159915.62000000002</v>
      </c>
      <c r="V49" s="11">
        <f>SUM(T49:U49)-R49</f>
        <v>0</v>
      </c>
    </row>
    <row r="50" spans="1:22" ht="13.5" thickBot="1" x14ac:dyDescent="0.35">
      <c r="E50" s="13" t="s">
        <v>32</v>
      </c>
      <c r="F50" s="22">
        <f>SUM(F47:F49)</f>
        <v>23309.379999999997</v>
      </c>
      <c r="G50" s="22">
        <f t="shared" ref="G50:N50" si="11">SUM(G47:G49)</f>
        <v>23059.379999999997</v>
      </c>
      <c r="H50" s="22">
        <f t="shared" si="11"/>
        <v>23059.379999999997</v>
      </c>
      <c r="I50" s="22">
        <f t="shared" si="11"/>
        <v>23059.379999999997</v>
      </c>
      <c r="J50" s="22">
        <f t="shared" si="11"/>
        <v>23059.379999999997</v>
      </c>
      <c r="K50" s="22">
        <f t="shared" si="11"/>
        <v>39978.905000000006</v>
      </c>
      <c r="L50" s="22">
        <f t="shared" si="11"/>
        <v>39978.905000000006</v>
      </c>
      <c r="M50" s="22">
        <f t="shared" si="11"/>
        <v>39978.905000000006</v>
      </c>
      <c r="N50" s="22">
        <f t="shared" si="11"/>
        <v>0</v>
      </c>
      <c r="O50" s="119">
        <f>SUM(O47:O49)</f>
        <v>39978.905000000006</v>
      </c>
      <c r="P50" s="22">
        <f t="shared" ref="P50" si="12">SUM(P47:P49)</f>
        <v>0</v>
      </c>
      <c r="Q50" s="22">
        <f>SUM(Q47:Q49)</f>
        <v>0</v>
      </c>
      <c r="R50" s="22">
        <f>SUM(R47:R49)</f>
        <v>275462.52</v>
      </c>
      <c r="T50" s="39">
        <f>SUM(T47:T49)</f>
        <v>115546.9</v>
      </c>
      <c r="U50" s="78">
        <f>SUM(U47:U49)</f>
        <v>159915.62000000002</v>
      </c>
      <c r="V50" s="11">
        <f>SUM(T50:U50)-R50</f>
        <v>0</v>
      </c>
    </row>
    <row r="51" spans="1:22" x14ac:dyDescent="0.3">
      <c r="E51" s="15"/>
      <c r="O51" s="118"/>
    </row>
    <row r="52" spans="1:22" ht="15.75" customHeight="1" x14ac:dyDescent="0.35">
      <c r="B52">
        <v>9</v>
      </c>
      <c r="C52" s="20">
        <f>+C46+1</f>
        <v>6</v>
      </c>
      <c r="D52" s="24" t="s">
        <v>14</v>
      </c>
      <c r="E52" s="25" t="s">
        <v>33</v>
      </c>
      <c r="O52" s="118"/>
    </row>
    <row r="53" spans="1:22" x14ac:dyDescent="0.3">
      <c r="B53">
        <v>9.1</v>
      </c>
      <c r="E53" s="8" t="s">
        <v>8</v>
      </c>
      <c r="F53" s="3">
        <v>511.67</v>
      </c>
      <c r="G53" s="3">
        <v>511.67</v>
      </c>
      <c r="H53" s="3">
        <v>511.67</v>
      </c>
      <c r="I53" s="3">
        <v>511.67</v>
      </c>
      <c r="J53" s="3">
        <v>511.67</v>
      </c>
      <c r="K53" s="3">
        <f>IF($B$52=12,'payment summary to Trustee'!$AW53,('payment summary to Trustee'!$BD53-'CDE Intercept  '!$T53)/4)</f>
        <v>895.42250000000001</v>
      </c>
      <c r="L53" s="3">
        <f>IF($B$52=12,'payment summary to Trustee'!$AW53,('payment summary to Trustee'!$BD53-'CDE Intercept  '!$T53)/4)</f>
        <v>895.42250000000001</v>
      </c>
      <c r="M53" s="3">
        <f>IF($B$52=12,'payment summary to Trustee'!$AW53,('payment summary to Trustee'!$BD53-'CDE Intercept  '!$T53)/4)</f>
        <v>895.42250000000001</v>
      </c>
      <c r="N53" s="3">
        <v>0</v>
      </c>
      <c r="O53" s="118">
        <f>IF($B$52=12,'payment summary to Trustee'!$AW53,('payment summary to Trustee'!$BD53-'CDE Intercept  '!$T53)/4)</f>
        <v>895.42250000000001</v>
      </c>
      <c r="P53" s="3">
        <v>0</v>
      </c>
      <c r="Q53" s="3">
        <v>0</v>
      </c>
      <c r="R53" s="3">
        <f>SUM(F53:Q53)</f>
        <v>6140.0399999999991</v>
      </c>
      <c r="T53" s="3">
        <f>SUM(F53:J53)</f>
        <v>2558.35</v>
      </c>
      <c r="U53" s="93">
        <f>SUM(K53:Q53)</f>
        <v>3581.69</v>
      </c>
      <c r="V53" s="11">
        <f>SUM(T53:U53)-R53</f>
        <v>0</v>
      </c>
    </row>
    <row r="54" spans="1:22" x14ac:dyDescent="0.3">
      <c r="B54">
        <v>9.1999999999999993</v>
      </c>
      <c r="E54" s="8" t="s">
        <v>9</v>
      </c>
      <c r="F54" s="3">
        <v>250</v>
      </c>
      <c r="G54" s="3">
        <v>0</v>
      </c>
      <c r="H54" s="3">
        <v>0</v>
      </c>
      <c r="I54" s="3">
        <v>0</v>
      </c>
      <c r="J54" s="3">
        <v>0</v>
      </c>
      <c r="K54" s="3">
        <f>IF($B$52=12,'payment summary to Trustee'!$AW54,('payment summary to Trustee'!$BD54-'CDE Intercept  '!$T54)/4)</f>
        <v>0</v>
      </c>
      <c r="L54" s="3">
        <f>IF($B$52=12,'payment summary to Trustee'!$AW54,('payment summary to Trustee'!$BD54-'CDE Intercept  '!$T54)/4)</f>
        <v>0</v>
      </c>
      <c r="M54" s="3">
        <f>IF($B$52=12,'payment summary to Trustee'!$AW54,('payment summary to Trustee'!$BD54-'CDE Intercept  '!$T54)/4)</f>
        <v>0</v>
      </c>
      <c r="N54" s="3">
        <v>0</v>
      </c>
      <c r="O54" s="118">
        <f>IF($B$52=12,'payment summary to Trustee'!$AW54,('payment summary to Trustee'!$BD54-'CDE Intercept  '!$T54)/4)</f>
        <v>0</v>
      </c>
      <c r="P54" s="3">
        <v>0</v>
      </c>
      <c r="Q54" s="3">
        <v>0</v>
      </c>
      <c r="R54" s="3">
        <f>SUM(F54:Q54)</f>
        <v>250</v>
      </c>
      <c r="T54" s="3">
        <f t="shared" ref="T54:T55" si="13">SUM(F54:J54)</f>
        <v>250</v>
      </c>
      <c r="U54" s="93">
        <f>SUM(K54:Q54)</f>
        <v>0</v>
      </c>
      <c r="V54" s="11">
        <f>SUM(T54:U54)-R54</f>
        <v>0</v>
      </c>
    </row>
    <row r="55" spans="1:22" ht="13.5" thickBot="1" x14ac:dyDescent="0.35">
      <c r="A55" t="s">
        <v>34</v>
      </c>
      <c r="B55">
        <v>9.3000000000000007</v>
      </c>
      <c r="E55" s="8" t="s">
        <v>10</v>
      </c>
      <c r="F55" s="3">
        <f>30000+24666.67</f>
        <v>54666.67</v>
      </c>
      <c r="G55" s="3">
        <f>30000+24666.67</f>
        <v>54666.67</v>
      </c>
      <c r="H55" s="3">
        <f>30000+24666.67</f>
        <v>54666.67</v>
      </c>
      <c r="I55" s="3">
        <f>30000+24666.67</f>
        <v>54666.67</v>
      </c>
      <c r="J55" s="3">
        <f>30000+24666.67</f>
        <v>54666.67</v>
      </c>
      <c r="K55" s="3">
        <f>IF($B$52=12,'payment summary to Trustee'!$AW55,('payment summary to Trustee'!$BD55-'CDE Intercept  '!$T55)/4)</f>
        <v>93516.662499999977</v>
      </c>
      <c r="L55" s="3">
        <f>IF($B$52=12,'payment summary to Trustee'!$AW55,('payment summary to Trustee'!$BD55-'CDE Intercept  '!$T55)/4)</f>
        <v>93516.662499999977</v>
      </c>
      <c r="M55" s="3">
        <f>IF($B$52=12,'payment summary to Trustee'!$AW55,('payment summary to Trustee'!$BD55-'CDE Intercept  '!$T55)/4)</f>
        <v>93516.662499999977</v>
      </c>
      <c r="N55" s="3">
        <v>0</v>
      </c>
      <c r="O55" s="118">
        <f>IF($B$52=12,'payment summary to Trustee'!$AW55,('payment summary to Trustee'!$BD55-'CDE Intercept  '!$T55)/4)</f>
        <v>93516.662499999977</v>
      </c>
      <c r="P55" s="3">
        <v>0</v>
      </c>
      <c r="Q55" s="3">
        <v>0</v>
      </c>
      <c r="R55" s="3">
        <f>SUM(F55:Q55)</f>
        <v>647399.99999999988</v>
      </c>
      <c r="T55" s="3">
        <f t="shared" si="13"/>
        <v>273333.34999999998</v>
      </c>
      <c r="U55" s="94">
        <f>SUM(K55:Q55)</f>
        <v>374066.64999999991</v>
      </c>
      <c r="V55" s="11">
        <f>SUM(T55:U55)-R55</f>
        <v>0</v>
      </c>
    </row>
    <row r="56" spans="1:22" ht="13.5" thickBot="1" x14ac:dyDescent="0.35">
      <c r="E56" s="13" t="s">
        <v>35</v>
      </c>
      <c r="F56" s="22">
        <f t="shared" ref="F56:R56" si="14">SUM(F53:F55)</f>
        <v>55428.34</v>
      </c>
      <c r="G56" s="22">
        <f t="shared" si="14"/>
        <v>55178.34</v>
      </c>
      <c r="H56" s="22">
        <f t="shared" si="14"/>
        <v>55178.34</v>
      </c>
      <c r="I56" s="22">
        <f t="shared" si="14"/>
        <v>55178.34</v>
      </c>
      <c r="J56" s="22">
        <f t="shared" si="14"/>
        <v>55178.34</v>
      </c>
      <c r="K56" s="22">
        <f t="shared" si="14"/>
        <v>94412.084999999977</v>
      </c>
      <c r="L56" s="22">
        <f t="shared" si="14"/>
        <v>94412.084999999977</v>
      </c>
      <c r="M56" s="22">
        <f t="shared" si="14"/>
        <v>94412.084999999977</v>
      </c>
      <c r="N56" s="22">
        <v>0</v>
      </c>
      <c r="O56" s="119">
        <f t="shared" si="14"/>
        <v>94412.084999999977</v>
      </c>
      <c r="P56" s="22">
        <f t="shared" ref="P56" si="15">SUM(P53:P55)</f>
        <v>0</v>
      </c>
      <c r="Q56" s="22">
        <f t="shared" si="14"/>
        <v>0</v>
      </c>
      <c r="R56" s="22">
        <f t="shared" si="14"/>
        <v>653790.03999999992</v>
      </c>
      <c r="T56" s="39">
        <f>SUM(T53:T55)</f>
        <v>276141.69999999995</v>
      </c>
      <c r="U56" s="78">
        <f>SUM(U53:U55)</f>
        <v>377648.33999999991</v>
      </c>
      <c r="V56" s="11">
        <f>SUM(T56:U56)-R56</f>
        <v>0</v>
      </c>
    </row>
    <row r="57" spans="1:22" x14ac:dyDescent="0.3">
      <c r="E57" s="15"/>
      <c r="O57" s="118"/>
    </row>
    <row r="58" spans="1:22" ht="15.75" customHeight="1" x14ac:dyDescent="0.35">
      <c r="C58" s="20"/>
      <c r="D58" s="30" t="s">
        <v>6</v>
      </c>
      <c r="E58" s="10" t="s">
        <v>36</v>
      </c>
      <c r="O58" s="118"/>
    </row>
    <row r="59" spans="1:22" x14ac:dyDescent="0.3">
      <c r="E59" s="8" t="s">
        <v>8</v>
      </c>
      <c r="O59" s="118"/>
    </row>
    <row r="60" spans="1:22" x14ac:dyDescent="0.3">
      <c r="E60" s="8" t="s">
        <v>9</v>
      </c>
      <c r="O60" s="118"/>
    </row>
    <row r="61" spans="1:22" ht="13.5" thickBot="1" x14ac:dyDescent="0.35">
      <c r="E61" s="8" t="s">
        <v>10</v>
      </c>
      <c r="O61" s="118"/>
    </row>
    <row r="62" spans="1:22" ht="13.5" thickBot="1" x14ac:dyDescent="0.35">
      <c r="E62" s="13" t="s">
        <v>37</v>
      </c>
      <c r="O62" s="118"/>
    </row>
    <row r="63" spans="1:22" x14ac:dyDescent="0.3">
      <c r="E63" s="15"/>
      <c r="O63" s="118"/>
    </row>
    <row r="64" spans="1:22" ht="15.75" customHeight="1" x14ac:dyDescent="0.35">
      <c r="B64">
        <v>9</v>
      </c>
      <c r="C64" s="20">
        <f>C52+1</f>
        <v>7</v>
      </c>
      <c r="D64" s="24" t="s">
        <v>14</v>
      </c>
      <c r="E64" s="25" t="s">
        <v>38</v>
      </c>
      <c r="O64" s="118"/>
    </row>
    <row r="65" spans="1:22" x14ac:dyDescent="0.3">
      <c r="B65">
        <v>9.1</v>
      </c>
      <c r="E65" s="8" t="s">
        <v>8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f>IF($B$64=12,'payment summary to Trustee'!$AW65,('payment summary to Trustee'!$BD65-'CDE Intercept  '!$T65)/4)</f>
        <v>0</v>
      </c>
      <c r="L65" s="3">
        <f>IF($B$64=12,'payment summary to Trustee'!$AW65,('payment summary to Trustee'!$BD65-'CDE Intercept  '!$T65)/4)</f>
        <v>0</v>
      </c>
      <c r="M65" s="3">
        <f>IF($B$64=12,'payment summary to Trustee'!$AW65,('payment summary to Trustee'!$BD65-'CDE Intercept  '!$T65)/4)</f>
        <v>0</v>
      </c>
      <c r="N65" s="3">
        <v>0</v>
      </c>
      <c r="O65" s="118">
        <f>IF($B$64=12,'payment summary to Trustee'!$AW65,('payment summary to Trustee'!$BD65-'CDE Intercept  '!$T65)/4)</f>
        <v>0</v>
      </c>
      <c r="P65" s="3">
        <v>0</v>
      </c>
      <c r="Q65" s="3">
        <v>0</v>
      </c>
      <c r="R65" s="3">
        <f>SUM(F65:Q65)</f>
        <v>0</v>
      </c>
      <c r="T65" s="3">
        <f>SUM(F65:J65)</f>
        <v>0</v>
      </c>
      <c r="U65" s="93">
        <f>SUM(K65:Q65)</f>
        <v>0</v>
      </c>
      <c r="V65" s="11">
        <f>SUM(T65:U65)-R65</f>
        <v>0</v>
      </c>
    </row>
    <row r="66" spans="1:22" x14ac:dyDescent="0.3">
      <c r="B66">
        <v>9.1999999999999993</v>
      </c>
      <c r="E66" s="8" t="s">
        <v>9</v>
      </c>
      <c r="F66" s="3">
        <v>250</v>
      </c>
      <c r="G66" s="3">
        <v>0</v>
      </c>
      <c r="H66" s="3">
        <v>0</v>
      </c>
      <c r="I66" s="3">
        <v>0</v>
      </c>
      <c r="J66" s="3">
        <v>0</v>
      </c>
      <c r="K66" s="3">
        <f>IF($B$64=12,'payment summary to Trustee'!$AW66,('payment summary to Trustee'!$BD66-'CDE Intercept  '!$T66)/4)</f>
        <v>0</v>
      </c>
      <c r="L66" s="3">
        <f>IF($B$64=12,'payment summary to Trustee'!$AW66,('payment summary to Trustee'!$BD66-'CDE Intercept  '!$T66)/4)</f>
        <v>0</v>
      </c>
      <c r="M66" s="3">
        <f>IF($B$64=12,'payment summary to Trustee'!$AW66,('payment summary to Trustee'!$BD66-'CDE Intercept  '!$T66)/4)</f>
        <v>0</v>
      </c>
      <c r="N66" s="3">
        <v>0</v>
      </c>
      <c r="O66" s="118">
        <f>IF($B$64=12,'payment summary to Trustee'!$AW66,('payment summary to Trustee'!$BD66-'CDE Intercept  '!$T66)/4)</f>
        <v>0</v>
      </c>
      <c r="P66" s="3">
        <v>0</v>
      </c>
      <c r="Q66" s="3">
        <v>0</v>
      </c>
      <c r="R66" s="3">
        <f>SUM(F66:Q66)</f>
        <v>250</v>
      </c>
      <c r="T66" s="3">
        <f t="shared" ref="T66:T67" si="16">SUM(F66:J66)</f>
        <v>250</v>
      </c>
      <c r="U66" s="93">
        <f>SUM(K66:Q66)</f>
        <v>0</v>
      </c>
      <c r="V66" s="11">
        <f>SUM(T66:U66)-R66</f>
        <v>0</v>
      </c>
    </row>
    <row r="67" spans="1:22" ht="13.5" thickBot="1" x14ac:dyDescent="0.35">
      <c r="A67" t="s">
        <v>39</v>
      </c>
      <c r="B67">
        <v>9.3000000000000007</v>
      </c>
      <c r="E67" s="8" t="s">
        <v>10</v>
      </c>
      <c r="F67" s="3">
        <f>15000+24895.83</f>
        <v>39895.83</v>
      </c>
      <c r="G67" s="3">
        <f>15000+24895.83</f>
        <v>39895.83</v>
      </c>
      <c r="H67" s="3">
        <f>15000+24895.83</f>
        <v>39895.83</v>
      </c>
      <c r="I67" s="3">
        <f>15000+24895.85</f>
        <v>39895.85</v>
      </c>
      <c r="J67" s="3">
        <f>15833.33+24145.83</f>
        <v>39979.160000000003</v>
      </c>
      <c r="K67" s="3">
        <f>IF($B$64=12,'payment summary to Trustee'!$AW67,('payment summary to Trustee'!$BD67-'CDE Intercept  '!$T67)/4)</f>
        <v>69963.535000000003</v>
      </c>
      <c r="L67" s="3">
        <f>IF($B$64=12,'payment summary to Trustee'!$AW67,('payment summary to Trustee'!$BD67-'CDE Intercept  '!$T67)/4)</f>
        <v>69963.535000000003</v>
      </c>
      <c r="M67" s="3">
        <f>IF($B$64=12,'payment summary to Trustee'!$AW67,('payment summary to Trustee'!$BD67-'CDE Intercept  '!$T67)/4)</f>
        <v>69963.535000000003</v>
      </c>
      <c r="N67" s="3">
        <v>0</v>
      </c>
      <c r="O67" s="118">
        <f>IF($B$64=12,'payment summary to Trustee'!$AW67,('payment summary to Trustee'!$BD67-'CDE Intercept  '!$T67)/4)</f>
        <v>69963.535000000003</v>
      </c>
      <c r="P67" s="3">
        <v>0</v>
      </c>
      <c r="Q67" s="3">
        <v>0</v>
      </c>
      <c r="R67" s="3">
        <f>SUM(F67:Q67)</f>
        <v>479416.64000000013</v>
      </c>
      <c r="T67" s="3">
        <f t="shared" si="16"/>
        <v>199562.5</v>
      </c>
      <c r="U67" s="94">
        <f>SUM(K67:Q67)</f>
        <v>279854.14</v>
      </c>
      <c r="V67" s="11">
        <f>SUM(T67:U67)-R67</f>
        <v>0</v>
      </c>
    </row>
    <row r="68" spans="1:22" ht="13.5" thickBot="1" x14ac:dyDescent="0.35">
      <c r="E68" s="13" t="s">
        <v>40</v>
      </c>
      <c r="F68" s="22">
        <f>SUM(F65:F67)</f>
        <v>40145.83</v>
      </c>
      <c r="G68" s="22">
        <f t="shared" ref="G68:R68" si="17">SUM(G65:G67)</f>
        <v>39895.83</v>
      </c>
      <c r="H68" s="22">
        <f t="shared" si="17"/>
        <v>39895.83</v>
      </c>
      <c r="I68" s="22">
        <f t="shared" si="17"/>
        <v>39895.85</v>
      </c>
      <c r="J68" s="22">
        <f t="shared" si="17"/>
        <v>39979.160000000003</v>
      </c>
      <c r="K68" s="22">
        <f t="shared" si="17"/>
        <v>69963.535000000003</v>
      </c>
      <c r="L68" s="22">
        <f t="shared" si="17"/>
        <v>69963.535000000003</v>
      </c>
      <c r="M68" s="22">
        <f t="shared" si="17"/>
        <v>69963.535000000003</v>
      </c>
      <c r="N68" s="22">
        <f t="shared" si="17"/>
        <v>0</v>
      </c>
      <c r="O68" s="119">
        <f t="shared" si="17"/>
        <v>69963.535000000003</v>
      </c>
      <c r="P68" s="22">
        <f t="shared" ref="P68" si="18">SUM(P65:P67)</f>
        <v>0</v>
      </c>
      <c r="Q68" s="22">
        <f t="shared" si="17"/>
        <v>0</v>
      </c>
      <c r="R68" s="22">
        <f t="shared" si="17"/>
        <v>479666.64000000013</v>
      </c>
      <c r="T68" s="39">
        <f>SUM(T65:T67)</f>
        <v>199812.5</v>
      </c>
      <c r="U68" s="78">
        <f>SUM(U65:U67)</f>
        <v>279854.14</v>
      </c>
      <c r="V68" s="11">
        <f>SUM(T68:U68)-R68</f>
        <v>0</v>
      </c>
    </row>
    <row r="69" spans="1:22" x14ac:dyDescent="0.3">
      <c r="E69" s="15"/>
      <c r="O69" s="118"/>
    </row>
    <row r="70" spans="1:22" ht="15.75" customHeight="1" x14ac:dyDescent="0.35">
      <c r="B70">
        <v>12</v>
      </c>
      <c r="C70" s="20">
        <f>+C64+1</f>
        <v>8</v>
      </c>
      <c r="D70" s="24" t="s">
        <v>14</v>
      </c>
      <c r="E70" s="25" t="s">
        <v>41</v>
      </c>
      <c r="O70" s="118"/>
    </row>
    <row r="71" spans="1:22" x14ac:dyDescent="0.3">
      <c r="B71">
        <v>12.1</v>
      </c>
      <c r="E71" s="8" t="str">
        <f>E65</f>
        <v>Debt Reserve</v>
      </c>
      <c r="F71" s="3">
        <v>923.33</v>
      </c>
      <c r="G71" s="3">
        <v>923.33</v>
      </c>
      <c r="H71" s="3">
        <v>923.33</v>
      </c>
      <c r="I71" s="3">
        <v>923.33</v>
      </c>
      <c r="J71" s="3">
        <v>923.33</v>
      </c>
      <c r="K71" s="3">
        <v>923.33</v>
      </c>
      <c r="L71" s="3">
        <v>923.33</v>
      </c>
      <c r="M71" s="3">
        <v>923.33</v>
      </c>
      <c r="N71" s="3">
        <v>849.17</v>
      </c>
      <c r="O71" s="118">
        <v>849.17</v>
      </c>
      <c r="P71" s="3">
        <v>849.17</v>
      </c>
      <c r="Q71" s="3">
        <v>849.17</v>
      </c>
      <c r="R71" s="3">
        <f>SUM(F71:Q71)</f>
        <v>10783.32</v>
      </c>
      <c r="T71" s="3">
        <f>SUM(F71:J71)</f>
        <v>4616.6500000000005</v>
      </c>
      <c r="U71" s="93">
        <f>SUM(K71:Q71)</f>
        <v>6166.67</v>
      </c>
      <c r="V71" s="11">
        <f>SUM(T71:U71)-R71</f>
        <v>0</v>
      </c>
    </row>
    <row r="72" spans="1:22" x14ac:dyDescent="0.3">
      <c r="B72">
        <v>12.2</v>
      </c>
      <c r="E72" s="8" t="str">
        <f>E66</f>
        <v>Treasury Fee</v>
      </c>
      <c r="F72" s="3">
        <v>250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118">
        <v>0</v>
      </c>
      <c r="P72" s="3">
        <v>0</v>
      </c>
      <c r="Q72" s="3">
        <v>0</v>
      </c>
      <c r="R72" s="3">
        <f>SUM(F72:Q72)</f>
        <v>250</v>
      </c>
      <c r="T72" s="3">
        <f t="shared" ref="T72:T73" si="19">SUM(F72:J72)</f>
        <v>250</v>
      </c>
      <c r="U72" s="93">
        <f>SUM(K72:Q72)</f>
        <v>0</v>
      </c>
      <c r="V72" s="11">
        <f>SUM(T72:U72)-R72</f>
        <v>0</v>
      </c>
    </row>
    <row r="73" spans="1:22" ht="13.5" thickBot="1" x14ac:dyDescent="0.35">
      <c r="A73" t="s">
        <v>42</v>
      </c>
      <c r="B73">
        <v>12.3</v>
      </c>
      <c r="E73" s="8" t="str">
        <f>E67</f>
        <v>Intercept</v>
      </c>
      <c r="F73" s="3">
        <f>77916.67+37753.13</f>
        <v>115669.79999999999</v>
      </c>
      <c r="G73" s="3">
        <f>77916.67+37753.13</f>
        <v>115669.79999999999</v>
      </c>
      <c r="H73" s="3">
        <f t="shared" ref="H73:M73" si="20">77916.67+37753.13</f>
        <v>115669.79999999999</v>
      </c>
      <c r="I73" s="3">
        <f t="shared" si="20"/>
        <v>115669.79999999999</v>
      </c>
      <c r="J73" s="3">
        <f t="shared" si="20"/>
        <v>115669.79999999999</v>
      </c>
      <c r="K73" s="3">
        <f t="shared" si="20"/>
        <v>115669.79999999999</v>
      </c>
      <c r="L73" s="3">
        <f t="shared" si="20"/>
        <v>115669.79999999999</v>
      </c>
      <c r="M73" s="3">
        <f t="shared" si="20"/>
        <v>115669.79999999999</v>
      </c>
      <c r="N73" s="3">
        <f>77916.67+37753.13</f>
        <v>115669.79999999999</v>
      </c>
      <c r="O73" s="118">
        <f>77916.67+37753.13</f>
        <v>115669.79999999999</v>
      </c>
      <c r="P73" s="3">
        <f>77916.67+37753.13</f>
        <v>115669.79999999999</v>
      </c>
      <c r="Q73" s="3">
        <f>81250+33857.29</f>
        <v>115107.29000000001</v>
      </c>
      <c r="R73" s="3">
        <f>SUM(F73:Q73)</f>
        <v>1387475.0900000003</v>
      </c>
      <c r="T73" s="3">
        <f t="shared" si="19"/>
        <v>578349</v>
      </c>
      <c r="U73" s="94">
        <f>SUM(K73:Q73)</f>
        <v>809126.09000000008</v>
      </c>
      <c r="V73" s="11">
        <f>SUM(T73:U73)-R73</f>
        <v>0</v>
      </c>
    </row>
    <row r="74" spans="1:22" ht="13.5" thickBot="1" x14ac:dyDescent="0.35">
      <c r="E74" s="13" t="s">
        <v>43</v>
      </c>
      <c r="F74" s="22">
        <f>SUM(F71:F73)</f>
        <v>116843.12999999999</v>
      </c>
      <c r="G74" s="22">
        <f t="shared" ref="G74:R74" si="21">SUM(G71:G73)</f>
        <v>116593.12999999999</v>
      </c>
      <c r="H74" s="22">
        <f t="shared" si="21"/>
        <v>116593.12999999999</v>
      </c>
      <c r="I74" s="22">
        <f t="shared" si="21"/>
        <v>116593.12999999999</v>
      </c>
      <c r="J74" s="22">
        <f t="shared" si="21"/>
        <v>116593.12999999999</v>
      </c>
      <c r="K74" s="22">
        <f t="shared" si="21"/>
        <v>116593.12999999999</v>
      </c>
      <c r="L74" s="22">
        <f t="shared" si="21"/>
        <v>116593.12999999999</v>
      </c>
      <c r="M74" s="22">
        <f t="shared" si="21"/>
        <v>116593.12999999999</v>
      </c>
      <c r="N74" s="22">
        <f t="shared" si="21"/>
        <v>116518.96999999999</v>
      </c>
      <c r="O74" s="119">
        <f t="shared" si="21"/>
        <v>116518.96999999999</v>
      </c>
      <c r="P74" s="22">
        <f t="shared" si="21"/>
        <v>116518.96999999999</v>
      </c>
      <c r="Q74" s="22">
        <f t="shared" si="21"/>
        <v>115956.46</v>
      </c>
      <c r="R74" s="22">
        <f t="shared" si="21"/>
        <v>1398508.4100000004</v>
      </c>
      <c r="T74" s="39">
        <f>SUM(T71:T73)</f>
        <v>583215.65</v>
      </c>
      <c r="U74" s="78">
        <f>SUM(U71:U73)</f>
        <v>815292.76000000013</v>
      </c>
      <c r="V74" s="11">
        <f>SUM(T74:U74)-R74</f>
        <v>0</v>
      </c>
    </row>
    <row r="75" spans="1:22" x14ac:dyDescent="0.3">
      <c r="E75" s="15"/>
      <c r="O75" s="118"/>
    </row>
    <row r="76" spans="1:22" ht="15.75" customHeight="1" x14ac:dyDescent="0.35">
      <c r="B76">
        <v>9</v>
      </c>
      <c r="C76" s="20">
        <f>+C70+1</f>
        <v>9</v>
      </c>
      <c r="D76" s="24" t="s">
        <v>14</v>
      </c>
      <c r="E76" s="25" t="s">
        <v>44</v>
      </c>
      <c r="O76" s="118"/>
    </row>
    <row r="77" spans="1:22" x14ac:dyDescent="0.3">
      <c r="B77">
        <v>9.1</v>
      </c>
      <c r="E77" s="8" t="s">
        <v>8</v>
      </c>
      <c r="F77" s="3">
        <v>295.61</v>
      </c>
      <c r="G77" s="31">
        <v>295.61</v>
      </c>
      <c r="H77" s="31">
        <v>295.61</v>
      </c>
      <c r="I77" s="31">
        <v>295.61</v>
      </c>
      <c r="J77" s="31">
        <v>295.61</v>
      </c>
      <c r="K77" s="3">
        <f>IF($B$76=12,'payment summary to Trustee'!$AW77,('payment summary to Trustee'!$BD77-'CDE Intercept  '!$T77)/4)</f>
        <v>485.54999999999995</v>
      </c>
      <c r="L77" s="3">
        <f>IF($B$76=12,'payment summary to Trustee'!$AW77,('payment summary to Trustee'!$BD77-'CDE Intercept  '!$T77)/4)</f>
        <v>485.54999999999995</v>
      </c>
      <c r="M77" s="3">
        <f>IF($B$76=12,'payment summary to Trustee'!$AW77,('payment summary to Trustee'!$BD77-'CDE Intercept  '!$T77)/4)</f>
        <v>485.54999999999995</v>
      </c>
      <c r="N77" s="3">
        <v>0</v>
      </c>
      <c r="O77" s="118">
        <f>IF($B$76=12,'payment summary to Trustee'!$AW77,('payment summary to Trustee'!$BD77-'CDE Intercept  '!$T77)/4)</f>
        <v>485.54999999999995</v>
      </c>
      <c r="P77" s="3">
        <v>0</v>
      </c>
      <c r="Q77" s="31">
        <v>0</v>
      </c>
      <c r="R77" s="3">
        <f>SUM(F77:Q77)</f>
        <v>3420.25</v>
      </c>
      <c r="T77" s="3">
        <f>SUM(F77:J77)</f>
        <v>1478.0500000000002</v>
      </c>
      <c r="U77" s="93">
        <f>SUM(K77:Q77)</f>
        <v>1942.1999999999998</v>
      </c>
      <c r="V77" s="11">
        <f>SUM(T77:U77)-R77</f>
        <v>0</v>
      </c>
    </row>
    <row r="78" spans="1:22" x14ac:dyDescent="0.3">
      <c r="B78">
        <v>9.1999999999999993</v>
      </c>
      <c r="E78" s="8" t="s">
        <v>9</v>
      </c>
      <c r="F78" s="28">
        <v>250</v>
      </c>
      <c r="G78" s="28">
        <v>0</v>
      </c>
      <c r="H78" s="28">
        <v>0</v>
      </c>
      <c r="I78" s="28">
        <v>0</v>
      </c>
      <c r="J78" s="28">
        <v>0</v>
      </c>
      <c r="K78" s="3">
        <f>IF($B$76=12,'payment summary to Trustee'!$AW78,('payment summary to Trustee'!$BD78-'CDE Intercept  '!$T78)/4)</f>
        <v>0</v>
      </c>
      <c r="L78" s="3">
        <f>IF($B$76=12,'payment summary to Trustee'!$AW78,('payment summary to Trustee'!$BD78-'CDE Intercept  '!$T78)/4)</f>
        <v>0</v>
      </c>
      <c r="M78" s="3">
        <f>IF($B$76=12,'payment summary to Trustee'!$AW78,('payment summary to Trustee'!$BD78-'CDE Intercept  '!$T78)/4)</f>
        <v>0</v>
      </c>
      <c r="N78" s="3">
        <v>0</v>
      </c>
      <c r="O78" s="118">
        <f>IF($B$76=12,'payment summary to Trustee'!$AW78,('payment summary to Trustee'!$BD78-'CDE Intercept  '!$T78)/4)</f>
        <v>0</v>
      </c>
      <c r="P78" s="3">
        <v>0</v>
      </c>
      <c r="Q78" s="28">
        <v>0</v>
      </c>
      <c r="R78" s="3">
        <f>SUM(F78:Q78)</f>
        <v>250</v>
      </c>
      <c r="T78" s="3">
        <f t="shared" ref="T78:T79" si="22">SUM(F78:J78)</f>
        <v>250</v>
      </c>
      <c r="U78" s="93">
        <f>SUM(K78:Q78)</f>
        <v>0</v>
      </c>
      <c r="V78" s="11">
        <f>SUM(T78:U78)-R78</f>
        <v>0</v>
      </c>
    </row>
    <row r="79" spans="1:22" ht="13.5" thickBot="1" x14ac:dyDescent="0.35">
      <c r="A79" t="s">
        <v>45</v>
      </c>
      <c r="B79">
        <v>9.3000000000000007</v>
      </c>
      <c r="E79" s="8" t="s">
        <v>10</v>
      </c>
      <c r="F79" s="28">
        <f>25420.54+9489.17</f>
        <v>34909.71</v>
      </c>
      <c r="G79" s="28">
        <f>25420.54+9489.18</f>
        <v>34909.72</v>
      </c>
      <c r="H79" s="28">
        <f>25420.54+9489.18</f>
        <v>34909.72</v>
      </c>
      <c r="I79" s="28">
        <f>25420.54+9489.18</f>
        <v>34909.72</v>
      </c>
      <c r="J79" s="28">
        <f>25420.54+9489.18</f>
        <v>34909.72</v>
      </c>
      <c r="K79" s="3">
        <f>IF($B$76=12,'payment summary to Trustee'!$AW79,('payment summary to Trustee'!$BD79-'CDE Intercept  '!$T79)/4)</f>
        <v>61123.790000000015</v>
      </c>
      <c r="L79" s="3">
        <f>IF($B$76=12,'payment summary to Trustee'!$AW79,('payment summary to Trustee'!$BD79-'CDE Intercept  '!$T79)/4)</f>
        <v>61123.790000000015</v>
      </c>
      <c r="M79" s="3">
        <f>IF($B$76=12,'payment summary to Trustee'!$AW79,('payment summary to Trustee'!$BD79-'CDE Intercept  '!$T79)/4)</f>
        <v>61123.790000000015</v>
      </c>
      <c r="N79" s="3">
        <v>0</v>
      </c>
      <c r="O79" s="118">
        <f>IF($B$76=12,'payment summary to Trustee'!$AW79,('payment summary to Trustee'!$BD79-'CDE Intercept  '!$T79)/4)</f>
        <v>61123.790000000015</v>
      </c>
      <c r="P79" s="3">
        <v>0</v>
      </c>
      <c r="Q79" s="3">
        <v>0</v>
      </c>
      <c r="R79" s="3">
        <f>SUM(F79:Q79)</f>
        <v>419043.75000000012</v>
      </c>
      <c r="T79" s="3">
        <f t="shared" si="22"/>
        <v>174548.59</v>
      </c>
      <c r="U79" s="94">
        <f>SUM(K79:Q79)</f>
        <v>244495.16000000006</v>
      </c>
      <c r="V79" s="11">
        <f>SUM(T79:U79)-R79</f>
        <v>0</v>
      </c>
    </row>
    <row r="80" spans="1:22" ht="13.5" thickBot="1" x14ac:dyDescent="0.35">
      <c r="E80" s="13" t="s">
        <v>46</v>
      </c>
      <c r="F80" s="22">
        <f t="shared" ref="F80:R80" si="23">SUM(F77:F79)</f>
        <v>35455.32</v>
      </c>
      <c r="G80" s="22">
        <f t="shared" si="23"/>
        <v>35205.33</v>
      </c>
      <c r="H80" s="22">
        <f t="shared" si="23"/>
        <v>35205.33</v>
      </c>
      <c r="I80" s="22">
        <f t="shared" si="23"/>
        <v>35205.33</v>
      </c>
      <c r="J80" s="22">
        <f t="shared" si="23"/>
        <v>35205.33</v>
      </c>
      <c r="K80" s="22">
        <f t="shared" si="23"/>
        <v>61609.340000000018</v>
      </c>
      <c r="L80" s="22">
        <f t="shared" si="23"/>
        <v>61609.340000000018</v>
      </c>
      <c r="M80" s="22">
        <f t="shared" si="23"/>
        <v>61609.340000000018</v>
      </c>
      <c r="N80" s="22">
        <f t="shared" si="23"/>
        <v>0</v>
      </c>
      <c r="O80" s="119">
        <f t="shared" si="23"/>
        <v>61609.340000000018</v>
      </c>
      <c r="P80" s="22">
        <f t="shared" ref="P80" si="24">SUM(P77:P79)</f>
        <v>0</v>
      </c>
      <c r="Q80" s="22">
        <f t="shared" si="23"/>
        <v>0</v>
      </c>
      <c r="R80" s="22">
        <f t="shared" si="23"/>
        <v>422714.00000000012</v>
      </c>
      <c r="T80" s="39">
        <f>SUM(T77:T79)</f>
        <v>176276.63999999998</v>
      </c>
      <c r="U80" s="78">
        <f>SUM(U77:U79)</f>
        <v>246437.36000000007</v>
      </c>
      <c r="V80" s="11">
        <f>SUM(T80:U80)-R80</f>
        <v>0</v>
      </c>
    </row>
    <row r="81" spans="1:22" x14ac:dyDescent="0.3">
      <c r="E81" s="15"/>
      <c r="O81" s="118"/>
    </row>
    <row r="82" spans="1:22" ht="15.75" customHeight="1" x14ac:dyDescent="0.35">
      <c r="B82">
        <v>12</v>
      </c>
      <c r="C82" s="20">
        <f>+C76+1</f>
        <v>10</v>
      </c>
      <c r="D82" s="24" t="s">
        <v>14</v>
      </c>
      <c r="E82" s="25" t="s">
        <v>47</v>
      </c>
      <c r="O82" s="118"/>
    </row>
    <row r="83" spans="1:22" x14ac:dyDescent="0.3">
      <c r="B83">
        <v>12.1</v>
      </c>
      <c r="E83" s="8" t="s">
        <v>8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118">
        <v>0</v>
      </c>
      <c r="P83" s="3">
        <v>0</v>
      </c>
      <c r="Q83" s="3">
        <v>0</v>
      </c>
      <c r="R83" s="3">
        <f>SUM(F83:Q83)</f>
        <v>0</v>
      </c>
      <c r="T83" s="3">
        <f>SUM(F83:J83)</f>
        <v>0</v>
      </c>
      <c r="U83" s="93">
        <f>SUM(K83:Q83)</f>
        <v>0</v>
      </c>
      <c r="V83" s="11">
        <f>SUM(T83:U83)-R83</f>
        <v>0</v>
      </c>
    </row>
    <row r="84" spans="1:22" x14ac:dyDescent="0.3">
      <c r="B84">
        <v>12.2</v>
      </c>
      <c r="E84" s="8" t="s">
        <v>9</v>
      </c>
      <c r="F84" s="3">
        <v>250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118">
        <v>0</v>
      </c>
      <c r="P84" s="3">
        <v>0</v>
      </c>
      <c r="Q84" s="3">
        <v>0</v>
      </c>
      <c r="R84" s="3">
        <f>SUM(F84:Q84)</f>
        <v>250</v>
      </c>
      <c r="T84" s="3">
        <f t="shared" ref="T84:T85" si="25">SUM(F84:J84)</f>
        <v>250</v>
      </c>
      <c r="U84" s="93">
        <f>SUM(K84:Q84)</f>
        <v>0</v>
      </c>
      <c r="V84" s="11">
        <f>SUM(T84:U84)-R84</f>
        <v>0</v>
      </c>
    </row>
    <row r="85" spans="1:22" ht="13.5" thickBot="1" x14ac:dyDescent="0.35">
      <c r="A85" t="s">
        <v>48</v>
      </c>
      <c r="B85">
        <v>12.3</v>
      </c>
      <c r="E85" s="8" t="s">
        <v>10</v>
      </c>
      <c r="F85" s="3">
        <f>8333.33+94951.46</f>
        <v>103284.79000000001</v>
      </c>
      <c r="G85" s="3">
        <f t="shared" ref="G85:Q85" si="26">8333.33+94951.46</f>
        <v>103284.79000000001</v>
      </c>
      <c r="H85" s="3">
        <f t="shared" si="26"/>
        <v>103284.79000000001</v>
      </c>
      <c r="I85" s="3">
        <f t="shared" si="26"/>
        <v>103284.79000000001</v>
      </c>
      <c r="J85" s="3">
        <f t="shared" si="26"/>
        <v>103284.79000000001</v>
      </c>
      <c r="K85" s="3">
        <f t="shared" si="26"/>
        <v>103284.79000000001</v>
      </c>
      <c r="L85" s="3">
        <f t="shared" si="26"/>
        <v>103284.79000000001</v>
      </c>
      <c r="M85" s="3">
        <f t="shared" si="26"/>
        <v>103284.79000000001</v>
      </c>
      <c r="N85" s="3">
        <f t="shared" si="26"/>
        <v>103284.79000000001</v>
      </c>
      <c r="O85" s="118">
        <f t="shared" si="26"/>
        <v>103284.79000000001</v>
      </c>
      <c r="P85" s="3">
        <f t="shared" si="26"/>
        <v>103284.79000000001</v>
      </c>
      <c r="Q85" s="3">
        <f t="shared" si="26"/>
        <v>103284.79000000001</v>
      </c>
      <c r="R85" s="3">
        <f>SUM(F85:Q85)</f>
        <v>1239417.4800000002</v>
      </c>
      <c r="T85" s="3">
        <f t="shared" si="25"/>
        <v>516423.95000000007</v>
      </c>
      <c r="U85" s="94">
        <f>SUM(K85:Q85)</f>
        <v>722993.53000000014</v>
      </c>
      <c r="V85" s="11">
        <f>SUM(T85:U85)-R85</f>
        <v>0</v>
      </c>
    </row>
    <row r="86" spans="1:22" ht="13.5" thickBot="1" x14ac:dyDescent="0.35">
      <c r="E86" s="13" t="s">
        <v>20</v>
      </c>
      <c r="F86" s="22">
        <f t="shared" ref="F86:R86" si="27">SUM(F83:F85)</f>
        <v>103534.79000000001</v>
      </c>
      <c r="G86" s="22">
        <f t="shared" si="27"/>
        <v>103284.79000000001</v>
      </c>
      <c r="H86" s="22">
        <f t="shared" si="27"/>
        <v>103284.79000000001</v>
      </c>
      <c r="I86" s="22">
        <f t="shared" si="27"/>
        <v>103284.79000000001</v>
      </c>
      <c r="J86" s="22">
        <f t="shared" si="27"/>
        <v>103284.79000000001</v>
      </c>
      <c r="K86" s="22">
        <f t="shared" si="27"/>
        <v>103284.79000000001</v>
      </c>
      <c r="L86" s="22">
        <f t="shared" si="27"/>
        <v>103284.79000000001</v>
      </c>
      <c r="M86" s="22">
        <f t="shared" si="27"/>
        <v>103284.79000000001</v>
      </c>
      <c r="N86" s="22">
        <f t="shared" si="27"/>
        <v>103284.79000000001</v>
      </c>
      <c r="O86" s="119">
        <f t="shared" si="27"/>
        <v>103284.79000000001</v>
      </c>
      <c r="P86" s="22">
        <f t="shared" si="27"/>
        <v>103284.79000000001</v>
      </c>
      <c r="Q86" s="22">
        <f t="shared" si="27"/>
        <v>103284.79000000001</v>
      </c>
      <c r="R86" s="22">
        <f t="shared" si="27"/>
        <v>1239667.4800000002</v>
      </c>
      <c r="T86" s="39">
        <f>SUM(T83:T85)</f>
        <v>516673.95000000007</v>
      </c>
      <c r="U86" s="78">
        <f>SUM(U83:U85)</f>
        <v>722993.53000000014</v>
      </c>
      <c r="V86" s="11">
        <f>SUM(T86:U86)-R86</f>
        <v>0</v>
      </c>
    </row>
    <row r="87" spans="1:22" x14ac:dyDescent="0.3">
      <c r="E87" s="15"/>
      <c r="O87" s="118"/>
    </row>
    <row r="88" spans="1:22" ht="15.5" x14ac:dyDescent="0.35">
      <c r="C88" s="20"/>
      <c r="D88" s="24" t="s">
        <v>14</v>
      </c>
      <c r="E88" s="10" t="s">
        <v>49</v>
      </c>
      <c r="O88" s="118"/>
    </row>
    <row r="89" spans="1:22" x14ac:dyDescent="0.3">
      <c r="E89" s="8" t="s">
        <v>8</v>
      </c>
      <c r="F89" s="3">
        <v>1006.67</v>
      </c>
      <c r="G89" s="3">
        <v>1006.67</v>
      </c>
      <c r="H89" s="3">
        <v>1006.67</v>
      </c>
      <c r="I89" s="3">
        <v>1006.67</v>
      </c>
      <c r="J89" s="3">
        <v>1006.67</v>
      </c>
      <c r="K89" s="60">
        <f>1730.83-1730.83</f>
        <v>0</v>
      </c>
      <c r="L89" s="3">
        <v>0</v>
      </c>
      <c r="M89" s="3">
        <v>0</v>
      </c>
      <c r="N89" s="3">
        <v>0</v>
      </c>
      <c r="O89" s="118">
        <v>0</v>
      </c>
      <c r="P89" s="3">
        <v>0</v>
      </c>
      <c r="Q89" s="3">
        <v>0</v>
      </c>
      <c r="R89" s="3">
        <f>SUM(F89:Q89)</f>
        <v>5033.3499999999995</v>
      </c>
      <c r="T89" s="3">
        <f>SUM(F89:J89)</f>
        <v>5033.3499999999995</v>
      </c>
      <c r="U89" s="93">
        <f>SUM(K89:Q89)</f>
        <v>0</v>
      </c>
      <c r="V89" s="11">
        <f>SUM(T89:U89)-R89</f>
        <v>0</v>
      </c>
    </row>
    <row r="90" spans="1:22" x14ac:dyDescent="0.3">
      <c r="E90" s="8" t="s">
        <v>9</v>
      </c>
      <c r="F90" s="3">
        <v>250</v>
      </c>
      <c r="G90" s="3">
        <v>0</v>
      </c>
      <c r="H90" s="3">
        <v>0</v>
      </c>
      <c r="I90" s="3">
        <v>0</v>
      </c>
      <c r="J90" s="3">
        <v>0</v>
      </c>
      <c r="K90" s="60">
        <v>0</v>
      </c>
      <c r="L90" s="3">
        <v>0</v>
      </c>
      <c r="M90" s="3">
        <v>0</v>
      </c>
      <c r="N90" s="3">
        <v>0</v>
      </c>
      <c r="O90" s="118">
        <v>0</v>
      </c>
      <c r="P90" s="3">
        <v>0</v>
      </c>
      <c r="Q90" s="3">
        <v>0</v>
      </c>
      <c r="R90" s="3">
        <f>SUM(F90:Q90)</f>
        <v>250</v>
      </c>
      <c r="T90" s="3">
        <f t="shared" ref="T90:T91" si="28">SUM(F90:J90)</f>
        <v>250</v>
      </c>
      <c r="U90" s="93">
        <f>SUM(K90:Q90)</f>
        <v>0</v>
      </c>
      <c r="V90" s="11">
        <f>SUM(T90:U90)-R90</f>
        <v>0</v>
      </c>
    </row>
    <row r="91" spans="1:22" ht="13.5" thickBot="1" x14ac:dyDescent="0.35">
      <c r="A91" t="s">
        <v>50</v>
      </c>
      <c r="E91" s="8" t="s">
        <v>10</v>
      </c>
      <c r="F91" s="3">
        <f>34166.67+55627.08</f>
        <v>89793.75</v>
      </c>
      <c r="G91" s="3">
        <f>34166.67+55627.08</f>
        <v>89793.75</v>
      </c>
      <c r="H91" s="3">
        <f>34166.67+55627.08</f>
        <v>89793.75</v>
      </c>
      <c r="I91" s="3">
        <f>34166.67+55627.08</f>
        <v>89793.75</v>
      </c>
      <c r="J91" s="3">
        <f>34166.67+55627.08</f>
        <v>89793.75</v>
      </c>
      <c r="K91" s="60">
        <f>157045.3-157045.3</f>
        <v>0</v>
      </c>
      <c r="L91" s="3">
        <v>0</v>
      </c>
      <c r="M91" s="3">
        <v>0</v>
      </c>
      <c r="N91" s="3">
        <v>0</v>
      </c>
      <c r="O91" s="118">
        <v>0</v>
      </c>
      <c r="P91" s="3">
        <v>0</v>
      </c>
      <c r="Q91" s="3">
        <v>0</v>
      </c>
      <c r="R91" s="3">
        <f>SUM(F91:Q91)</f>
        <v>448968.75</v>
      </c>
      <c r="T91" s="3">
        <f t="shared" si="28"/>
        <v>448968.75</v>
      </c>
      <c r="U91" s="94">
        <f>SUM(K91:Q91)</f>
        <v>0</v>
      </c>
      <c r="V91" s="11">
        <f>SUM(T91:U91)-R91</f>
        <v>0</v>
      </c>
    </row>
    <row r="92" spans="1:22" ht="13.5" thickBot="1" x14ac:dyDescent="0.35">
      <c r="E92" s="13" t="s">
        <v>51</v>
      </c>
      <c r="F92" s="22">
        <f t="shared" ref="F92:R92" si="29">SUM(F89:F91)</f>
        <v>91050.42</v>
      </c>
      <c r="G92" s="22">
        <f t="shared" si="29"/>
        <v>90800.42</v>
      </c>
      <c r="H92" s="22">
        <f t="shared" si="29"/>
        <v>90800.42</v>
      </c>
      <c r="I92" s="22">
        <f t="shared" si="29"/>
        <v>90800.42</v>
      </c>
      <c r="J92" s="22">
        <f t="shared" si="29"/>
        <v>90800.42</v>
      </c>
      <c r="K92" s="98">
        <f t="shared" ref="K92" si="30">SUM(K89:K91)</f>
        <v>0</v>
      </c>
      <c r="L92" s="22">
        <f t="shared" si="29"/>
        <v>0</v>
      </c>
      <c r="M92" s="22">
        <f t="shared" si="29"/>
        <v>0</v>
      </c>
      <c r="N92" s="22">
        <f t="shared" si="29"/>
        <v>0</v>
      </c>
      <c r="O92" s="119">
        <f t="shared" si="29"/>
        <v>0</v>
      </c>
      <c r="P92" s="22">
        <f t="shared" si="29"/>
        <v>0</v>
      </c>
      <c r="Q92" s="22">
        <f t="shared" si="29"/>
        <v>0</v>
      </c>
      <c r="R92" s="22">
        <f t="shared" si="29"/>
        <v>454252.1</v>
      </c>
      <c r="S92" t="s">
        <v>14</v>
      </c>
      <c r="T92" s="39">
        <f>SUM(T89:T91)</f>
        <v>454252.1</v>
      </c>
      <c r="U92" s="78">
        <f>SUM(U89:U91)</f>
        <v>0</v>
      </c>
      <c r="V92" s="11">
        <f>SUM(T92:U92)-R92</f>
        <v>0</v>
      </c>
    </row>
    <row r="93" spans="1:22" x14ac:dyDescent="0.3">
      <c r="E93" s="15"/>
      <c r="O93" s="118"/>
    </row>
    <row r="94" spans="1:22" ht="15.5" x14ac:dyDescent="0.35">
      <c r="B94">
        <v>9</v>
      </c>
      <c r="C94" s="20">
        <f>+C82+1</f>
        <v>11</v>
      </c>
      <c r="D94" s="24" t="s">
        <v>14</v>
      </c>
      <c r="E94" s="25" t="s">
        <v>52</v>
      </c>
      <c r="O94" s="118"/>
    </row>
    <row r="95" spans="1:22" x14ac:dyDescent="0.3">
      <c r="B95">
        <v>9.1</v>
      </c>
      <c r="E95" s="8" t="str">
        <f>E89</f>
        <v>Debt Reserve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f>IF($B$94=12,'payment summary to Trustee'!$AW95,('payment summary to Trustee'!$BD95-'CDE Intercept  '!$T95)/4)</f>
        <v>0</v>
      </c>
      <c r="L95" s="3">
        <f>IF($B$94=12,'payment summary to Trustee'!$AW95,('payment summary to Trustee'!$BD95-'CDE Intercept  '!$T95)/4)</f>
        <v>0</v>
      </c>
      <c r="M95" s="3">
        <f>IF($B$94=12,'payment summary to Trustee'!$AW95,('payment summary to Trustee'!$BD95-'CDE Intercept  '!$T95)/4)</f>
        <v>0</v>
      </c>
      <c r="N95" s="3">
        <v>0</v>
      </c>
      <c r="O95" s="118">
        <f>IF($B$94=12,'payment summary to Trustee'!$AW95,('payment summary to Trustee'!$BD95-'CDE Intercept  '!$T95)/4)</f>
        <v>0</v>
      </c>
      <c r="P95" s="3">
        <v>0</v>
      </c>
      <c r="Q95" s="3">
        <v>0</v>
      </c>
      <c r="R95" s="3">
        <f>SUM(F95:Q95)</f>
        <v>0</v>
      </c>
      <c r="T95" s="3">
        <f>SUM(F95:J95)</f>
        <v>0</v>
      </c>
      <c r="U95" s="93">
        <f>SUM(K95:Q95)</f>
        <v>0</v>
      </c>
      <c r="V95" s="11">
        <f>SUM(T95:U95)-R95</f>
        <v>0</v>
      </c>
    </row>
    <row r="96" spans="1:22" x14ac:dyDescent="0.3">
      <c r="B96">
        <v>9.1999999999999993</v>
      </c>
      <c r="E96" s="8" t="str">
        <f>E90</f>
        <v>Treasury Fee</v>
      </c>
      <c r="F96" s="3">
        <v>250</v>
      </c>
      <c r="G96" s="3">
        <v>0</v>
      </c>
      <c r="H96" s="3">
        <v>0</v>
      </c>
      <c r="I96" s="3">
        <v>0</v>
      </c>
      <c r="J96" s="3">
        <v>0</v>
      </c>
      <c r="K96" s="3">
        <f>IF($B$94=12,'payment summary to Trustee'!$AW96,('payment summary to Trustee'!$BD96-'CDE Intercept  '!$T96)/4)</f>
        <v>0</v>
      </c>
      <c r="L96" s="3">
        <f>IF($B$94=12,'payment summary to Trustee'!$AW96,('payment summary to Trustee'!$BD96-'CDE Intercept  '!$T96)/4)</f>
        <v>0</v>
      </c>
      <c r="M96" s="3">
        <f>IF($B$94=12,'payment summary to Trustee'!$AW96,('payment summary to Trustee'!$BD96-'CDE Intercept  '!$T96)/4)</f>
        <v>0</v>
      </c>
      <c r="N96" s="3">
        <v>0</v>
      </c>
      <c r="O96" s="118">
        <f>IF($B$94=12,'payment summary to Trustee'!$AW96,('payment summary to Trustee'!$BD96-'CDE Intercept  '!$T96)/4)</f>
        <v>0</v>
      </c>
      <c r="P96" s="3">
        <v>0</v>
      </c>
      <c r="Q96" s="3">
        <v>0</v>
      </c>
      <c r="R96" s="3">
        <f>SUM(F96:Q96)</f>
        <v>250</v>
      </c>
      <c r="T96" s="3">
        <f t="shared" ref="T96:T97" si="31">SUM(F96:J96)</f>
        <v>250</v>
      </c>
      <c r="U96" s="93">
        <f>SUM(K96:Q96)</f>
        <v>0</v>
      </c>
      <c r="V96" s="11">
        <f>SUM(T96:U96)-R96</f>
        <v>0</v>
      </c>
    </row>
    <row r="97" spans="1:22" ht="13.5" thickBot="1" x14ac:dyDescent="0.35">
      <c r="A97" t="s">
        <v>53</v>
      </c>
      <c r="B97">
        <v>9.3000000000000007</v>
      </c>
      <c r="E97" s="8" t="str">
        <f>E91</f>
        <v>Intercept</v>
      </c>
      <c r="F97" s="3">
        <f>24937.88+14386.65</f>
        <v>39324.53</v>
      </c>
      <c r="G97" s="3">
        <f>24937.88+14386.62</f>
        <v>39324.5</v>
      </c>
      <c r="H97" s="3">
        <f>25436.64+13887.89</f>
        <v>39324.53</v>
      </c>
      <c r="I97" s="3">
        <f>25436.64+13887.89</f>
        <v>39324.53</v>
      </c>
      <c r="J97" s="65">
        <f>25436.64+13887.89</f>
        <v>39324.53</v>
      </c>
      <c r="K97" s="3">
        <f>IF($B$94=12,'payment summary to Trustee'!$AW97,('payment summary to Trustee'!$BD97-'CDE Intercept  '!$T97)/4)</f>
        <v>68817.920000000013</v>
      </c>
      <c r="L97" s="3">
        <f>IF($B$94=12,'payment summary to Trustee'!$AW97,('payment summary to Trustee'!$BD97-'CDE Intercept  '!$T97)/4)</f>
        <v>68817.920000000013</v>
      </c>
      <c r="M97" s="3">
        <f>IF($B$94=12,'payment summary to Trustee'!$AW97,('payment summary to Trustee'!$BD97-'CDE Intercept  '!$T97)/4)</f>
        <v>68817.920000000013</v>
      </c>
      <c r="N97" s="3">
        <v>0</v>
      </c>
      <c r="O97" s="118">
        <f>IF($B$94=12,'payment summary to Trustee'!$AW97,('payment summary to Trustee'!$BD97-'CDE Intercept  '!$T97)/4)</f>
        <v>68817.920000000013</v>
      </c>
      <c r="P97" s="3">
        <v>0</v>
      </c>
      <c r="Q97" s="65">
        <v>0</v>
      </c>
      <c r="R97" s="3">
        <f>SUM(F97:Q97)</f>
        <v>471894.30000000016</v>
      </c>
      <c r="T97" s="3">
        <f t="shared" si="31"/>
        <v>196622.62</v>
      </c>
      <c r="U97" s="94">
        <f>SUM(K97:Q97)</f>
        <v>275271.68000000005</v>
      </c>
      <c r="V97" s="11">
        <f>SUM(T97:U97)-R97</f>
        <v>0</v>
      </c>
    </row>
    <row r="98" spans="1:22" ht="13.5" thickBot="1" x14ac:dyDescent="0.35">
      <c r="E98" s="13" t="s">
        <v>54</v>
      </c>
      <c r="F98" s="22">
        <f t="shared" ref="F98:R98" si="32">SUM(F95:F97)</f>
        <v>39574.53</v>
      </c>
      <c r="G98" s="22">
        <f t="shared" si="32"/>
        <v>39324.5</v>
      </c>
      <c r="H98" s="22">
        <f t="shared" si="32"/>
        <v>39324.53</v>
      </c>
      <c r="I98" s="22">
        <f t="shared" si="32"/>
        <v>39324.53</v>
      </c>
      <c r="J98" s="22">
        <f t="shared" si="32"/>
        <v>39324.53</v>
      </c>
      <c r="K98" s="22">
        <f t="shared" si="32"/>
        <v>68817.920000000013</v>
      </c>
      <c r="L98" s="22">
        <f t="shared" si="32"/>
        <v>68817.920000000013</v>
      </c>
      <c r="M98" s="22">
        <f t="shared" si="32"/>
        <v>68817.920000000013</v>
      </c>
      <c r="N98" s="22">
        <f t="shared" si="32"/>
        <v>0</v>
      </c>
      <c r="O98" s="119">
        <f t="shared" si="32"/>
        <v>68817.920000000013</v>
      </c>
      <c r="P98" s="22">
        <f t="shared" ref="P98" si="33">SUM(P95:P97)</f>
        <v>0</v>
      </c>
      <c r="Q98" s="22">
        <f t="shared" si="32"/>
        <v>0</v>
      </c>
      <c r="R98" s="22">
        <f t="shared" si="32"/>
        <v>472144.30000000016</v>
      </c>
      <c r="T98" s="39">
        <f>SUM(T95:T97)</f>
        <v>196872.62</v>
      </c>
      <c r="U98" s="78">
        <f>SUM(U95:U97)</f>
        <v>275271.68000000005</v>
      </c>
      <c r="V98" s="11">
        <f>SUM(T98:U98)-R98</f>
        <v>0</v>
      </c>
    </row>
    <row r="99" spans="1:22" x14ac:dyDescent="0.3">
      <c r="E99" s="15"/>
      <c r="O99" s="118"/>
    </row>
    <row r="100" spans="1:22" ht="15.5" x14ac:dyDescent="0.35">
      <c r="B100">
        <v>9</v>
      </c>
      <c r="C100" s="20">
        <f>+C94+1</f>
        <v>12</v>
      </c>
      <c r="D100" s="24" t="s">
        <v>14</v>
      </c>
      <c r="E100" s="25" t="s">
        <v>55</v>
      </c>
      <c r="O100" s="118"/>
    </row>
    <row r="101" spans="1:22" x14ac:dyDescent="0.3">
      <c r="B101">
        <v>9.1</v>
      </c>
      <c r="E101" s="8" t="str">
        <f>E95</f>
        <v>Debt Reserve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f>IF($B$100=12,'payment summary to Trustee'!$AW101,('payment summary to Trustee'!$BD101-'CDE Intercept  '!$T101)/4)</f>
        <v>0</v>
      </c>
      <c r="L101" s="3">
        <f>IF($B$100=12,'payment summary to Trustee'!$AW101,('payment summary to Trustee'!$BD101-'CDE Intercept  '!$T101)/4)</f>
        <v>0</v>
      </c>
      <c r="M101" s="3">
        <f>IF($B$100=12,'payment summary to Trustee'!$AW101,('payment summary to Trustee'!$BD101-'CDE Intercept  '!$T101)/4)</f>
        <v>0</v>
      </c>
      <c r="N101" s="3">
        <v>0</v>
      </c>
      <c r="O101" s="118">
        <f>IF($B$100=12,'payment summary to Trustee'!$AW101,('payment summary to Trustee'!$BD101-'CDE Intercept  '!$T101)/4)</f>
        <v>0</v>
      </c>
      <c r="P101" s="3">
        <v>0</v>
      </c>
      <c r="Q101" s="3">
        <v>0</v>
      </c>
      <c r="R101" s="3">
        <f>SUM(F101:Q101)</f>
        <v>0</v>
      </c>
      <c r="T101" s="3">
        <f>SUM(F101:J101)</f>
        <v>0</v>
      </c>
      <c r="U101" s="93">
        <f>SUM(K101:Q101)</f>
        <v>0</v>
      </c>
      <c r="V101" s="11">
        <f>SUM(T101:U101)-R101</f>
        <v>0</v>
      </c>
    </row>
    <row r="102" spans="1:22" x14ac:dyDescent="0.3">
      <c r="B102">
        <v>9.1999999999999993</v>
      </c>
      <c r="E102" s="8" t="str">
        <f>E96</f>
        <v>Treasury Fee</v>
      </c>
      <c r="F102" s="3">
        <v>250</v>
      </c>
      <c r="G102" s="3">
        <v>0</v>
      </c>
      <c r="H102" s="3">
        <v>0</v>
      </c>
      <c r="I102" s="3">
        <v>0</v>
      </c>
      <c r="J102" s="3">
        <v>0</v>
      </c>
      <c r="K102" s="3">
        <f>IF($B$100=12,'payment summary to Trustee'!$AW102,('payment summary to Trustee'!$BD102-'CDE Intercept  '!$T102)/4)</f>
        <v>0</v>
      </c>
      <c r="L102" s="3">
        <f>IF($B$100=12,'payment summary to Trustee'!$AW102,('payment summary to Trustee'!$BD102-'CDE Intercept  '!$T102)/4)</f>
        <v>0</v>
      </c>
      <c r="M102" s="3">
        <f>IF($B$100=12,'payment summary to Trustee'!$AW102,('payment summary to Trustee'!$BD102-'CDE Intercept  '!$T102)/4)</f>
        <v>0</v>
      </c>
      <c r="N102" s="3">
        <v>0</v>
      </c>
      <c r="O102" s="118">
        <f>IF($B$100=12,'payment summary to Trustee'!$AW102,('payment summary to Trustee'!$BD102-'CDE Intercept  '!$T102)/4)</f>
        <v>0</v>
      </c>
      <c r="P102" s="3">
        <v>0</v>
      </c>
      <c r="Q102" s="3">
        <v>0</v>
      </c>
      <c r="R102" s="3">
        <f>SUM(F102:Q102)</f>
        <v>250</v>
      </c>
      <c r="T102" s="3">
        <f t="shared" ref="T102:T103" si="34">SUM(F102:J102)</f>
        <v>250</v>
      </c>
      <c r="U102" s="93">
        <f>SUM(K102:Q102)</f>
        <v>0</v>
      </c>
      <c r="V102" s="11">
        <f>SUM(T102:U102)-R102</f>
        <v>0</v>
      </c>
    </row>
    <row r="103" spans="1:22" ht="13.5" thickBot="1" x14ac:dyDescent="0.35">
      <c r="A103" t="s">
        <v>56</v>
      </c>
      <c r="B103">
        <v>9.3000000000000007</v>
      </c>
      <c r="E103" s="8" t="str">
        <f>E97</f>
        <v>Intercept</v>
      </c>
      <c r="F103" s="3">
        <f>5833.33+14177.5</f>
        <v>20010.830000000002</v>
      </c>
      <c r="G103" s="3">
        <f>5833.33+14177.5</f>
        <v>20010.830000000002</v>
      </c>
      <c r="H103" s="3">
        <f>5833.33+14177.5</f>
        <v>20010.830000000002</v>
      </c>
      <c r="I103" s="3">
        <f>5833.37+14177.5</f>
        <v>20010.87</v>
      </c>
      <c r="J103" s="3">
        <f>5833.33+13865.42</f>
        <v>19698.75</v>
      </c>
      <c r="K103" s="3">
        <f>IF($B$100=12,'payment summary to Trustee'!$AW103,('payment summary to Trustee'!$BD103-'CDE Intercept  '!$T103)/4)</f>
        <v>34472.807499999995</v>
      </c>
      <c r="L103" s="3">
        <f>IF($B$100=12,'payment summary to Trustee'!$AW103,('payment summary to Trustee'!$BD103-'CDE Intercept  '!$T103)/4)</f>
        <v>34472.807499999995</v>
      </c>
      <c r="M103" s="3">
        <f>IF($B$100=12,'payment summary to Trustee'!$AW103,('payment summary to Trustee'!$BD103-'CDE Intercept  '!$T103)/4)</f>
        <v>34472.807499999995</v>
      </c>
      <c r="N103" s="3">
        <v>0</v>
      </c>
      <c r="O103" s="118">
        <f>IF($B$100=12,'payment summary to Trustee'!$AW103,('payment summary to Trustee'!$BD103-'CDE Intercept  '!$T103)/4)</f>
        <v>34472.807499999995</v>
      </c>
      <c r="P103" s="3">
        <v>0</v>
      </c>
      <c r="Q103" s="3">
        <v>0</v>
      </c>
      <c r="R103" s="3">
        <f>SUM(F103:Q103)</f>
        <v>237633.33999999997</v>
      </c>
      <c r="T103" s="3">
        <f t="shared" si="34"/>
        <v>99742.11</v>
      </c>
      <c r="U103" s="94">
        <f>SUM(K103:Q103)</f>
        <v>137891.22999999998</v>
      </c>
      <c r="V103" s="11">
        <f>SUM(T103:U103)-R103</f>
        <v>0</v>
      </c>
    </row>
    <row r="104" spans="1:22" ht="13.5" thickBot="1" x14ac:dyDescent="0.35">
      <c r="E104" s="13" t="s">
        <v>57</v>
      </c>
      <c r="F104" s="22">
        <f t="shared" ref="F104:R104" si="35">SUM(F101:F103)</f>
        <v>20260.830000000002</v>
      </c>
      <c r="G104" s="22">
        <f t="shared" si="35"/>
        <v>20010.830000000002</v>
      </c>
      <c r="H104" s="22">
        <f t="shared" si="35"/>
        <v>20010.830000000002</v>
      </c>
      <c r="I104" s="22">
        <f t="shared" si="35"/>
        <v>20010.87</v>
      </c>
      <c r="J104" s="22">
        <f t="shared" si="35"/>
        <v>19698.75</v>
      </c>
      <c r="K104" s="22">
        <f t="shared" si="35"/>
        <v>34472.807499999995</v>
      </c>
      <c r="L104" s="22">
        <f t="shared" si="35"/>
        <v>34472.807499999995</v>
      </c>
      <c r="M104" s="22">
        <f t="shared" si="35"/>
        <v>34472.807499999995</v>
      </c>
      <c r="N104" s="22">
        <f t="shared" si="35"/>
        <v>0</v>
      </c>
      <c r="O104" s="119">
        <f t="shared" si="35"/>
        <v>34472.807499999995</v>
      </c>
      <c r="P104" s="22">
        <f t="shared" ref="P104" si="36">SUM(P101:P103)</f>
        <v>0</v>
      </c>
      <c r="Q104" s="22">
        <f t="shared" si="35"/>
        <v>0</v>
      </c>
      <c r="R104" s="22">
        <f t="shared" si="35"/>
        <v>237883.33999999997</v>
      </c>
      <c r="T104" s="39">
        <f>SUM(T101:T103)</f>
        <v>99992.11</v>
      </c>
      <c r="U104" s="78">
        <f>SUM(U101:U103)</f>
        <v>137891.22999999998</v>
      </c>
      <c r="V104" s="11">
        <f>SUM(T104:U104)-R104</f>
        <v>0</v>
      </c>
    </row>
    <row r="105" spans="1:22" x14ac:dyDescent="0.3">
      <c r="E105" s="15"/>
      <c r="O105" s="118"/>
    </row>
    <row r="106" spans="1:22" ht="15.5" x14ac:dyDescent="0.35">
      <c r="C106" s="20"/>
      <c r="D106" s="24" t="s">
        <v>14</v>
      </c>
      <c r="E106" s="10" t="s">
        <v>58</v>
      </c>
      <c r="O106" s="118"/>
    </row>
    <row r="107" spans="1:22" x14ac:dyDescent="0.3">
      <c r="E107" s="8" t="str">
        <f>E101</f>
        <v>Debt Reserve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118">
        <v>0</v>
      </c>
      <c r="P107" s="3">
        <v>0</v>
      </c>
      <c r="Q107" s="3">
        <v>0</v>
      </c>
      <c r="R107" s="3">
        <f>SUM(F107:Q107)</f>
        <v>0</v>
      </c>
      <c r="T107" s="3">
        <f>SUM(F107:J107)</f>
        <v>0</v>
      </c>
      <c r="U107" s="93">
        <f>SUM(K107:Q107)</f>
        <v>0</v>
      </c>
      <c r="V107" s="11">
        <f>SUM(T107:U107)-R107</f>
        <v>0</v>
      </c>
    </row>
    <row r="108" spans="1:22" x14ac:dyDescent="0.3">
      <c r="E108" s="8" t="str">
        <f>E102</f>
        <v>Treasury Fee</v>
      </c>
      <c r="F108" s="3">
        <v>250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118">
        <v>0</v>
      </c>
      <c r="P108" s="3">
        <v>0</v>
      </c>
      <c r="Q108" s="3">
        <v>0</v>
      </c>
      <c r="R108" s="3">
        <f>SUM(F108:Q108)</f>
        <v>250</v>
      </c>
      <c r="T108" s="3">
        <f t="shared" ref="T108:T109" si="37">SUM(F108:J108)</f>
        <v>250</v>
      </c>
      <c r="U108" s="93">
        <f>SUM(K108:Q108)</f>
        <v>0</v>
      </c>
      <c r="V108" s="11">
        <f>SUM(T108:U108)-R108</f>
        <v>0</v>
      </c>
    </row>
    <row r="109" spans="1:22" ht="13.5" thickBot="1" x14ac:dyDescent="0.35">
      <c r="E109" s="8" t="str">
        <f>E103</f>
        <v>Intercept</v>
      </c>
      <c r="F109" s="3">
        <f>43333.33+114226.04</f>
        <v>157559.37</v>
      </c>
      <c r="G109" s="3">
        <f t="shared" ref="G109:I109" si="38">43333.33+114226.04</f>
        <v>157559.37</v>
      </c>
      <c r="H109" s="60">
        <f t="shared" si="38"/>
        <v>157559.37</v>
      </c>
      <c r="I109" s="60">
        <f t="shared" si="38"/>
        <v>157559.37</v>
      </c>
      <c r="O109" s="118"/>
      <c r="R109" s="3">
        <f>SUM(F109:Q109)</f>
        <v>630237.48</v>
      </c>
      <c r="T109" s="3">
        <f t="shared" si="37"/>
        <v>630237.48</v>
      </c>
      <c r="U109" s="94">
        <f>SUM(K109:Q109)</f>
        <v>0</v>
      </c>
      <c r="V109" s="11">
        <f>SUM(T109:U109)-R109</f>
        <v>0</v>
      </c>
    </row>
    <row r="110" spans="1:22" ht="13.5" thickBot="1" x14ac:dyDescent="0.35">
      <c r="E110" s="13" t="s">
        <v>59</v>
      </c>
      <c r="F110" s="22">
        <f t="shared" ref="F110:R110" si="39">SUM(F107:F109)</f>
        <v>157809.37</v>
      </c>
      <c r="G110" s="22">
        <f t="shared" si="39"/>
        <v>157559.37</v>
      </c>
      <c r="H110" s="22">
        <f t="shared" si="39"/>
        <v>157559.37</v>
      </c>
      <c r="I110" s="22">
        <f t="shared" si="39"/>
        <v>157559.37</v>
      </c>
      <c r="J110" s="22">
        <f t="shared" si="39"/>
        <v>0</v>
      </c>
      <c r="K110" s="22">
        <f t="shared" si="39"/>
        <v>0</v>
      </c>
      <c r="L110" s="22">
        <f t="shared" si="39"/>
        <v>0</v>
      </c>
      <c r="M110" s="22">
        <f t="shared" si="39"/>
        <v>0</v>
      </c>
      <c r="N110" s="22">
        <f t="shared" si="39"/>
        <v>0</v>
      </c>
      <c r="O110" s="119">
        <f t="shared" si="39"/>
        <v>0</v>
      </c>
      <c r="P110" s="22">
        <f t="shared" si="39"/>
        <v>0</v>
      </c>
      <c r="Q110" s="22">
        <f t="shared" si="39"/>
        <v>0</v>
      </c>
      <c r="R110" s="22">
        <f t="shared" si="39"/>
        <v>630487.48</v>
      </c>
      <c r="T110" s="39">
        <f>SUM(T107:T109)</f>
        <v>630487.48</v>
      </c>
      <c r="U110" s="78">
        <f>SUM(U107:U109)</f>
        <v>0</v>
      </c>
      <c r="V110" s="11">
        <f>SUM(T110:U110)-R110</f>
        <v>0</v>
      </c>
    </row>
    <row r="111" spans="1:22" x14ac:dyDescent="0.3">
      <c r="E111" s="15"/>
      <c r="O111" s="118"/>
    </row>
    <row r="112" spans="1:22" ht="15.5" x14ac:dyDescent="0.35">
      <c r="B112">
        <v>9</v>
      </c>
      <c r="C112" s="20">
        <f>+C100+1</f>
        <v>13</v>
      </c>
      <c r="D112" s="24" t="s">
        <v>14</v>
      </c>
      <c r="E112" s="25" t="s">
        <v>60</v>
      </c>
      <c r="O112" s="118"/>
    </row>
    <row r="113" spans="1:22" x14ac:dyDescent="0.3">
      <c r="B113">
        <v>9.1</v>
      </c>
      <c r="E113" s="8" t="str">
        <f>E107</f>
        <v>Debt Reserve</v>
      </c>
      <c r="F113" s="3">
        <v>835.42</v>
      </c>
      <c r="G113" s="3">
        <v>835.42</v>
      </c>
      <c r="H113" s="3">
        <v>835.42</v>
      </c>
      <c r="I113" s="3">
        <v>835.42</v>
      </c>
      <c r="J113" s="3">
        <v>835.42</v>
      </c>
      <c r="K113" s="3">
        <v>1461.99</v>
      </c>
      <c r="L113" s="3">
        <v>1461.99</v>
      </c>
      <c r="M113" s="3">
        <v>1461.99</v>
      </c>
      <c r="N113" s="3">
        <v>0</v>
      </c>
      <c r="O113" s="120">
        <f>870+1461.99</f>
        <v>2331.9899999999998</v>
      </c>
      <c r="P113" s="3">
        <v>0</v>
      </c>
      <c r="Q113" s="3">
        <v>0</v>
      </c>
      <c r="R113" s="3">
        <f>SUM(F113:Q113)</f>
        <v>10895.06</v>
      </c>
      <c r="T113" s="3">
        <f>SUM(F113:J113)</f>
        <v>4177.0999999999995</v>
      </c>
      <c r="U113" s="93">
        <f>SUM(K113:Q113)</f>
        <v>6717.96</v>
      </c>
      <c r="V113" s="11">
        <f>SUM(T113:U113)-R113</f>
        <v>0</v>
      </c>
    </row>
    <row r="114" spans="1:22" x14ac:dyDescent="0.3">
      <c r="B114">
        <v>9.1999999999999993</v>
      </c>
      <c r="E114" s="8" t="str">
        <f>E108</f>
        <v>Treasury Fee</v>
      </c>
      <c r="F114" s="3">
        <v>250</v>
      </c>
      <c r="G114" s="3">
        <v>0</v>
      </c>
      <c r="H114" s="3">
        <v>0</v>
      </c>
      <c r="I114" s="3">
        <v>0</v>
      </c>
      <c r="J114" s="3">
        <v>0</v>
      </c>
      <c r="K114" s="3">
        <f>IF($B$112=12,'payment summary to Trustee'!$AW114,('payment summary to Trustee'!$BD114-'CDE Intercept  '!$T114)/4)</f>
        <v>0</v>
      </c>
      <c r="L114" s="3">
        <f>IF($B$112=12,'payment summary to Trustee'!$AW114,('payment summary to Trustee'!$BD114-'CDE Intercept  '!$T114)/4)</f>
        <v>0</v>
      </c>
      <c r="M114" s="3">
        <f>IF($B$112=12,'payment summary to Trustee'!$AW114,('payment summary to Trustee'!$BD114-'CDE Intercept  '!$T114)/4)</f>
        <v>0</v>
      </c>
      <c r="N114" s="3">
        <v>0</v>
      </c>
      <c r="O114" s="118">
        <f>IF($B$112=12,'payment summary to Trustee'!$AW114,('payment summary to Trustee'!$BD114-'CDE Intercept  '!$T114)/4)</f>
        <v>0</v>
      </c>
      <c r="P114" s="3">
        <v>0</v>
      </c>
      <c r="Q114" s="3">
        <v>0</v>
      </c>
      <c r="R114" s="3">
        <f>SUM(F114:Q114)</f>
        <v>250</v>
      </c>
      <c r="T114" s="3">
        <f t="shared" ref="T114:T115" si="40">SUM(F114:J114)</f>
        <v>250</v>
      </c>
      <c r="U114" s="93">
        <f>SUM(K114:Q114)</f>
        <v>0</v>
      </c>
      <c r="V114" s="11">
        <f>SUM(T114:U114)-R114</f>
        <v>0</v>
      </c>
    </row>
    <row r="115" spans="1:22" ht="13.5" thickBot="1" x14ac:dyDescent="0.35">
      <c r="A115" t="s">
        <v>61</v>
      </c>
      <c r="B115">
        <v>9.3000000000000007</v>
      </c>
      <c r="E115" s="8" t="str">
        <f>E109</f>
        <v>Intercept</v>
      </c>
      <c r="F115" s="3">
        <f>72500+45395.83</f>
        <v>117895.83</v>
      </c>
      <c r="G115" s="3">
        <f>76250+41770.83</f>
        <v>118020.83</v>
      </c>
      <c r="H115" s="3">
        <f>76250+41770.83</f>
        <v>118020.83</v>
      </c>
      <c r="I115" s="3">
        <f t="shared" ref="I115:J115" si="41">76250+41770.83</f>
        <v>118020.83</v>
      </c>
      <c r="J115" s="3">
        <f t="shared" si="41"/>
        <v>118020.83</v>
      </c>
      <c r="K115" s="3">
        <v>206536.45</v>
      </c>
      <c r="L115" s="3">
        <v>206536.45</v>
      </c>
      <c r="M115" s="3">
        <v>206536.45</v>
      </c>
      <c r="N115" s="3">
        <v>0</v>
      </c>
      <c r="O115" s="118">
        <f>206536.45-958.33</f>
        <v>205578.12000000002</v>
      </c>
      <c r="P115" s="3">
        <v>0</v>
      </c>
      <c r="Q115" s="3">
        <v>0</v>
      </c>
      <c r="R115" s="3">
        <f>SUM(F115:Q115)</f>
        <v>1415166.62</v>
      </c>
      <c r="T115" s="3">
        <f t="shared" si="40"/>
        <v>589979.15</v>
      </c>
      <c r="U115" s="94">
        <f>SUM(K115:Q115)</f>
        <v>825187.47000000009</v>
      </c>
      <c r="V115" s="11">
        <f>SUM(T115:U115)-R115</f>
        <v>0</v>
      </c>
    </row>
    <row r="116" spans="1:22" ht="13.5" thickBot="1" x14ac:dyDescent="0.35">
      <c r="E116" s="13" t="s">
        <v>62</v>
      </c>
      <c r="F116" s="22">
        <f t="shared" ref="F116:R116" si="42">SUM(F113:F115)</f>
        <v>118981.25</v>
      </c>
      <c r="G116" s="22">
        <f t="shared" si="42"/>
        <v>118856.25</v>
      </c>
      <c r="H116" s="22">
        <f t="shared" si="42"/>
        <v>118856.25</v>
      </c>
      <c r="I116" s="22">
        <f t="shared" si="42"/>
        <v>118856.25</v>
      </c>
      <c r="J116" s="22">
        <f t="shared" si="42"/>
        <v>118856.25</v>
      </c>
      <c r="K116" s="22">
        <f t="shared" si="42"/>
        <v>207998.44</v>
      </c>
      <c r="L116" s="22">
        <f t="shared" si="42"/>
        <v>207998.44</v>
      </c>
      <c r="M116" s="22">
        <f t="shared" si="42"/>
        <v>207998.44</v>
      </c>
      <c r="N116" s="22">
        <f t="shared" si="42"/>
        <v>0</v>
      </c>
      <c r="O116" s="119">
        <f t="shared" si="42"/>
        <v>207910.11000000002</v>
      </c>
      <c r="P116" s="22">
        <f t="shared" ref="P116" si="43">SUM(P113:P115)</f>
        <v>0</v>
      </c>
      <c r="Q116" s="22">
        <f t="shared" si="42"/>
        <v>0</v>
      </c>
      <c r="R116" s="22">
        <f t="shared" si="42"/>
        <v>1426311.6800000002</v>
      </c>
      <c r="T116" s="39">
        <f>SUM(T113:T115)</f>
        <v>594406.25</v>
      </c>
      <c r="U116" s="78">
        <f>SUM(U113:U115)</f>
        <v>831905.43</v>
      </c>
      <c r="V116" s="11">
        <f>SUM(T116:U116)-R116</f>
        <v>0</v>
      </c>
    </row>
    <row r="117" spans="1:22" x14ac:dyDescent="0.3">
      <c r="E117" s="15"/>
      <c r="O117" s="118"/>
    </row>
    <row r="118" spans="1:22" ht="15.5" x14ac:dyDescent="0.35">
      <c r="B118">
        <v>9</v>
      </c>
      <c r="C118" s="20">
        <f>+C112+1</f>
        <v>14</v>
      </c>
      <c r="D118" s="24" t="s">
        <v>14</v>
      </c>
      <c r="E118" s="25" t="s">
        <v>63</v>
      </c>
      <c r="O118" s="118"/>
    </row>
    <row r="119" spans="1:22" x14ac:dyDescent="0.3">
      <c r="B119">
        <v>9.1</v>
      </c>
      <c r="E119" s="8" t="str">
        <f>E113</f>
        <v>Debt Reserve</v>
      </c>
      <c r="F119" s="3">
        <v>1496.67</v>
      </c>
      <c r="G119" s="3">
        <v>1496.67</v>
      </c>
      <c r="H119" s="3">
        <v>1496.67</v>
      </c>
      <c r="I119" s="3">
        <v>1496.67</v>
      </c>
      <c r="J119" s="3">
        <v>1452.08</v>
      </c>
      <c r="K119" s="3">
        <f>IF($B$118=12,'payment summary to Trustee'!$AW119,('payment summary to Trustee'!$BD119-'CDE Intercept  '!$T119)/4)</f>
        <v>2541.14</v>
      </c>
      <c r="L119" s="3">
        <f>IF($B$118=12,'payment summary to Trustee'!$AW119,('payment summary to Trustee'!$BD119-'CDE Intercept  '!$T119)/4)</f>
        <v>2541.14</v>
      </c>
      <c r="M119" s="3">
        <f>IF($B$118=12,'payment summary to Trustee'!$AW119,('payment summary to Trustee'!$BD119-'CDE Intercept  '!$T119)/4)</f>
        <v>2541.14</v>
      </c>
      <c r="N119" s="3">
        <v>0</v>
      </c>
      <c r="O119" s="118">
        <f>IF($B$118=12,'payment summary to Trustee'!$AW119,('payment summary to Trustee'!$BD119-'CDE Intercept  '!$T119)/4)</f>
        <v>2541.14</v>
      </c>
      <c r="P119" s="3">
        <v>0</v>
      </c>
      <c r="Q119" s="3">
        <v>0</v>
      </c>
      <c r="R119" s="3">
        <f>SUM(F119:Q119)</f>
        <v>17603.32</v>
      </c>
      <c r="T119" s="3">
        <f>SUM(F119:J119)</f>
        <v>7438.76</v>
      </c>
      <c r="U119" s="93">
        <f>SUM(K119:Q119)</f>
        <v>10164.56</v>
      </c>
      <c r="V119" s="11">
        <f>SUM(T119:U119)-R119</f>
        <v>0</v>
      </c>
    </row>
    <row r="120" spans="1:22" x14ac:dyDescent="0.3">
      <c r="B120">
        <v>9.1999999999999993</v>
      </c>
      <c r="E120" s="8" t="str">
        <f>E114</f>
        <v>Treasury Fee</v>
      </c>
      <c r="F120" s="3">
        <v>250</v>
      </c>
      <c r="G120" s="3">
        <v>0</v>
      </c>
      <c r="H120" s="3">
        <v>0</v>
      </c>
      <c r="I120" s="3">
        <v>0</v>
      </c>
      <c r="J120" s="3">
        <v>0</v>
      </c>
      <c r="K120" s="3">
        <f>IF($B$118=12,'payment summary to Trustee'!$AW120,('payment summary to Trustee'!$BD120-'CDE Intercept  '!$T120)/4)</f>
        <v>0</v>
      </c>
      <c r="L120" s="3">
        <f>IF($B$118=12,'payment summary to Trustee'!$AW120,('payment summary to Trustee'!$BD120-'CDE Intercept  '!$T120)/4)</f>
        <v>0</v>
      </c>
      <c r="M120" s="3">
        <f>IF($B$118=12,'payment summary to Trustee'!$AW120,('payment summary to Trustee'!$BD120-'CDE Intercept  '!$T120)/4)</f>
        <v>0</v>
      </c>
      <c r="N120" s="3">
        <v>0</v>
      </c>
      <c r="O120" s="118">
        <f>IF($B$118=12,'payment summary to Trustee'!$AW120,('payment summary to Trustee'!$BD120-'CDE Intercept  '!$T120)/4)</f>
        <v>0</v>
      </c>
      <c r="P120" s="3">
        <v>0</v>
      </c>
      <c r="Q120" s="3">
        <v>0</v>
      </c>
      <c r="R120" s="3">
        <f>SUM(F120:Q120)</f>
        <v>250</v>
      </c>
      <c r="T120" s="3">
        <f t="shared" ref="T120:T121" si="44">SUM(F120:J120)</f>
        <v>250</v>
      </c>
      <c r="U120" s="93">
        <f>SUM(K120:Q120)</f>
        <v>0</v>
      </c>
      <c r="V120" s="11">
        <f>SUM(T120:U120)-R120</f>
        <v>0</v>
      </c>
    </row>
    <row r="121" spans="1:22" ht="13.5" thickBot="1" x14ac:dyDescent="0.35">
      <c r="A121" t="s">
        <v>64</v>
      </c>
      <c r="B121">
        <v>9.3000000000000007</v>
      </c>
      <c r="E121" s="8" t="str">
        <f>E115</f>
        <v>Intercept</v>
      </c>
      <c r="F121" s="3">
        <f>44583.33+64048.96</f>
        <v>108632.29000000001</v>
      </c>
      <c r="G121" s="3">
        <f>44583.33+64048.96</f>
        <v>108632.29000000001</v>
      </c>
      <c r="H121" s="3">
        <f>44583.33+64048.96</f>
        <v>108632.29000000001</v>
      </c>
      <c r="I121" s="3">
        <f>44583.37+64048.95</f>
        <v>108632.32000000001</v>
      </c>
      <c r="J121" s="3">
        <f>46666.67+61819.79</f>
        <v>108486.45999999999</v>
      </c>
      <c r="K121" s="3">
        <f>IF($B$118=12,'payment summary to Trustee'!$AW121,('payment summary to Trustee'!$BD121-'CDE Intercept  '!$T121)/4)</f>
        <v>189851.30749999997</v>
      </c>
      <c r="L121" s="3">
        <f>IF($B$118=12,'payment summary to Trustee'!$AW121,('payment summary to Trustee'!$BD121-'CDE Intercept  '!$T121)/4)</f>
        <v>189851.30749999997</v>
      </c>
      <c r="M121" s="3">
        <f>IF($B$118=12,'payment summary to Trustee'!$AW121,('payment summary to Trustee'!$BD121-'CDE Intercept  '!$T121)/4)</f>
        <v>189851.30749999997</v>
      </c>
      <c r="N121" s="3">
        <v>0</v>
      </c>
      <c r="O121" s="118">
        <f>IF($B$118=12,'payment summary to Trustee'!$AW121,('payment summary to Trustee'!$BD121-'CDE Intercept  '!$T121)/4)</f>
        <v>189851.30749999997</v>
      </c>
      <c r="P121" s="3">
        <v>0</v>
      </c>
      <c r="Q121" s="3">
        <v>0</v>
      </c>
      <c r="R121" s="3">
        <f>SUM(F121:Q121)</f>
        <v>1302420.8799999999</v>
      </c>
      <c r="T121" s="3">
        <f t="shared" si="44"/>
        <v>543015.65</v>
      </c>
      <c r="U121" s="94">
        <f>SUM(K121:Q121)</f>
        <v>759405.22999999986</v>
      </c>
      <c r="V121" s="11">
        <f>SUM(T121:U121)-R121</f>
        <v>0</v>
      </c>
    </row>
    <row r="122" spans="1:22" ht="13.5" thickBot="1" x14ac:dyDescent="0.35">
      <c r="E122" s="13" t="s">
        <v>29</v>
      </c>
      <c r="F122" s="22">
        <f t="shared" ref="F122:R122" si="45">SUM(F119:F121)</f>
        <v>110378.96</v>
      </c>
      <c r="G122" s="22">
        <f t="shared" si="45"/>
        <v>110128.96000000001</v>
      </c>
      <c r="H122" s="22">
        <f t="shared" si="45"/>
        <v>110128.96000000001</v>
      </c>
      <c r="I122" s="22">
        <f t="shared" si="45"/>
        <v>110128.99</v>
      </c>
      <c r="J122" s="22">
        <f t="shared" si="45"/>
        <v>109938.54</v>
      </c>
      <c r="K122" s="22">
        <f t="shared" si="45"/>
        <v>192392.44749999998</v>
      </c>
      <c r="L122" s="22">
        <f t="shared" si="45"/>
        <v>192392.44749999998</v>
      </c>
      <c r="M122" s="22">
        <f t="shared" si="45"/>
        <v>192392.44749999998</v>
      </c>
      <c r="N122" s="22">
        <f>SUM(N119:N121)</f>
        <v>0</v>
      </c>
      <c r="O122" s="119">
        <f t="shared" si="45"/>
        <v>192392.44749999998</v>
      </c>
      <c r="P122" s="22">
        <f>SUM(P119:P121)</f>
        <v>0</v>
      </c>
      <c r="Q122" s="22">
        <f t="shared" si="45"/>
        <v>0</v>
      </c>
      <c r="R122" s="22">
        <f t="shared" si="45"/>
        <v>1320274.2</v>
      </c>
      <c r="T122" s="39">
        <f>SUM(T119:T121)</f>
        <v>550704.41</v>
      </c>
      <c r="U122" s="78">
        <f>SUM(U119:U121)</f>
        <v>769569.78999999992</v>
      </c>
      <c r="V122" s="11">
        <f>SUM(T122:U122)-R122</f>
        <v>0</v>
      </c>
    </row>
    <row r="123" spans="1:22" x14ac:dyDescent="0.3">
      <c r="E123" s="15"/>
      <c r="O123" s="118"/>
    </row>
    <row r="124" spans="1:22" ht="15.5" x14ac:dyDescent="0.35">
      <c r="B124">
        <v>9</v>
      </c>
      <c r="C124" s="20">
        <f>+C118+1</f>
        <v>15</v>
      </c>
      <c r="D124" s="1" t="s">
        <v>14</v>
      </c>
      <c r="E124" s="25" t="s">
        <v>65</v>
      </c>
      <c r="O124" s="118"/>
    </row>
    <row r="125" spans="1:22" x14ac:dyDescent="0.3">
      <c r="B125">
        <v>9.1</v>
      </c>
      <c r="E125" s="8" t="s">
        <v>8</v>
      </c>
      <c r="F125" s="3">
        <v>2293.33</v>
      </c>
      <c r="G125" s="3">
        <v>2293.33</v>
      </c>
      <c r="H125" s="3">
        <v>2293.33</v>
      </c>
      <c r="I125" s="3">
        <v>2293.33</v>
      </c>
      <c r="J125" s="3">
        <v>2293.33</v>
      </c>
      <c r="K125" s="3">
        <f>IF($B$124=12,'payment summary to Trustee'!$AW125,('payment summary to Trustee'!$BD125-'CDE Intercept  '!$T125)/4)</f>
        <v>3863.9575</v>
      </c>
      <c r="L125" s="3">
        <f>IF($B$124=12,'payment summary to Trustee'!$AW125,('payment summary to Trustee'!$BD125-'CDE Intercept  '!$T125)/4)</f>
        <v>3863.9575</v>
      </c>
      <c r="M125" s="3">
        <f>IF($B$124=12,'payment summary to Trustee'!$AW125,('payment summary to Trustee'!$BD125-'CDE Intercept  '!$T125)/4)</f>
        <v>3863.9575</v>
      </c>
      <c r="N125" s="3">
        <v>0</v>
      </c>
      <c r="O125" s="118">
        <f>IF($B$124=12,'payment summary to Trustee'!$AW125,('payment summary to Trustee'!$BD125-'CDE Intercept  '!$T125)/4)</f>
        <v>3863.9575</v>
      </c>
      <c r="P125" s="3">
        <v>0</v>
      </c>
      <c r="Q125" s="3">
        <v>0</v>
      </c>
      <c r="R125" s="3">
        <f>SUM(F125:Q125)</f>
        <v>26922.48</v>
      </c>
      <c r="T125" s="3">
        <f>SUM(F125:J125)</f>
        <v>11466.65</v>
      </c>
      <c r="U125" s="93">
        <f>SUM(K125:Q125)</f>
        <v>15455.83</v>
      </c>
      <c r="V125" s="11">
        <f>SUM(T125:U125)-R125</f>
        <v>0</v>
      </c>
    </row>
    <row r="126" spans="1:22" x14ac:dyDescent="0.3">
      <c r="B126">
        <v>9.1999999999999993</v>
      </c>
      <c r="E126" s="8" t="s">
        <v>9</v>
      </c>
      <c r="F126" s="3">
        <v>250</v>
      </c>
      <c r="G126" s="3">
        <v>0</v>
      </c>
      <c r="H126" s="3">
        <v>0</v>
      </c>
      <c r="I126" s="3">
        <v>0</v>
      </c>
      <c r="J126" s="3">
        <v>0</v>
      </c>
      <c r="K126" s="3">
        <f>IF($B$124=12,'payment summary to Trustee'!$AW126,('payment summary to Trustee'!$BD126-'CDE Intercept  '!$T126)/4)</f>
        <v>0</v>
      </c>
      <c r="L126" s="3">
        <f>IF($B$124=12,'payment summary to Trustee'!$AW126,('payment summary to Trustee'!$BD126-'CDE Intercept  '!$T126)/4)</f>
        <v>0</v>
      </c>
      <c r="M126" s="3">
        <f>IF($B$124=12,'payment summary to Trustee'!$AW126,('payment summary to Trustee'!$BD126-'CDE Intercept  '!$T126)/4)</f>
        <v>0</v>
      </c>
      <c r="N126" s="3">
        <v>0</v>
      </c>
      <c r="O126" s="118">
        <f>IF($B$124=12,'payment summary to Trustee'!$AW126,('payment summary to Trustee'!$BD126-'CDE Intercept  '!$T126)/4)</f>
        <v>0</v>
      </c>
      <c r="P126" s="3">
        <v>0</v>
      </c>
      <c r="Q126" s="3">
        <v>0</v>
      </c>
      <c r="R126" s="3">
        <f>SUM(F126:Q126)</f>
        <v>250</v>
      </c>
      <c r="T126" s="3">
        <f t="shared" ref="T126:T127" si="46">SUM(F126:J126)</f>
        <v>250</v>
      </c>
      <c r="U126" s="93">
        <f>SUM(K126:Q126)</f>
        <v>0</v>
      </c>
      <c r="V126" s="11">
        <f>SUM(T126:U126)-R126</f>
        <v>0</v>
      </c>
    </row>
    <row r="127" spans="1:22" ht="13.5" thickBot="1" x14ac:dyDescent="0.35">
      <c r="A127" t="s">
        <v>66</v>
      </c>
      <c r="B127">
        <v>9.3000000000000007</v>
      </c>
      <c r="E127" s="8" t="s">
        <v>10</v>
      </c>
      <c r="F127" s="3">
        <f>99583.33+100414.58</f>
        <v>199997.91</v>
      </c>
      <c r="G127" s="3">
        <f>99583.33+100414.58</f>
        <v>199997.91</v>
      </c>
      <c r="H127" s="3">
        <f>99583.33+100414.58</f>
        <v>199997.91</v>
      </c>
      <c r="I127" s="3">
        <f>99583.33+100414.58</f>
        <v>199997.91</v>
      </c>
      <c r="J127" s="3">
        <f>99583.37+100414.6</f>
        <v>199997.97</v>
      </c>
      <c r="K127" s="3">
        <f>IF($B$124=12,'payment summary to Trustee'!$AW127,('payment summary to Trustee'!$BD127-'CDE Intercept  '!$T127)/4)</f>
        <v>350032.8075</v>
      </c>
      <c r="L127" s="3">
        <f>IF($B$124=12,'payment summary to Trustee'!$AW127,('payment summary to Trustee'!$BD127-'CDE Intercept  '!$T127)/4)</f>
        <v>350032.8075</v>
      </c>
      <c r="M127" s="3">
        <f>IF($B$124=12,'payment summary to Trustee'!$AW127,('payment summary to Trustee'!$BD127-'CDE Intercept  '!$T127)/4)</f>
        <v>350032.8075</v>
      </c>
      <c r="N127" s="3">
        <v>0</v>
      </c>
      <c r="O127" s="118">
        <f>IF($B$124=12,'payment summary to Trustee'!$AW127,('payment summary to Trustee'!$BD127-'CDE Intercept  '!$T127)/4)</f>
        <v>350032.8075</v>
      </c>
      <c r="P127" s="3">
        <v>0</v>
      </c>
      <c r="Q127" s="3">
        <v>0</v>
      </c>
      <c r="R127" s="3">
        <f>SUM(F127:Q127)</f>
        <v>2400120.8400000003</v>
      </c>
      <c r="T127" s="3">
        <f t="shared" si="46"/>
        <v>999989.61</v>
      </c>
      <c r="U127" s="94">
        <f>SUM(K127:Q127)</f>
        <v>1400131.23</v>
      </c>
      <c r="V127" s="11">
        <f>SUM(T127:U127)-R127</f>
        <v>0</v>
      </c>
    </row>
    <row r="128" spans="1:22" ht="13.5" thickBot="1" x14ac:dyDescent="0.35">
      <c r="E128" s="13" t="s">
        <v>67</v>
      </c>
      <c r="F128" s="22">
        <f>SUM(F125:F127)</f>
        <v>202541.24</v>
      </c>
      <c r="G128" s="22">
        <f t="shared" ref="G128:Q128" si="47">SUM(G125:G127)</f>
        <v>202291.24</v>
      </c>
      <c r="H128" s="22">
        <f t="shared" si="47"/>
        <v>202291.24</v>
      </c>
      <c r="I128" s="22">
        <f t="shared" si="47"/>
        <v>202291.24</v>
      </c>
      <c r="J128" s="22">
        <f t="shared" si="47"/>
        <v>202291.3</v>
      </c>
      <c r="K128" s="22">
        <f t="shared" si="47"/>
        <v>353896.76500000001</v>
      </c>
      <c r="L128" s="22">
        <f t="shared" si="47"/>
        <v>353896.76500000001</v>
      </c>
      <c r="M128" s="22">
        <f t="shared" si="47"/>
        <v>353896.76500000001</v>
      </c>
      <c r="N128" s="22">
        <f t="shared" si="47"/>
        <v>0</v>
      </c>
      <c r="O128" s="119">
        <f t="shared" si="47"/>
        <v>353896.76500000001</v>
      </c>
      <c r="P128" s="22">
        <f t="shared" ref="P128" si="48">SUM(P125:P127)</f>
        <v>0</v>
      </c>
      <c r="Q128" s="22">
        <f t="shared" si="47"/>
        <v>0</v>
      </c>
      <c r="R128" s="22">
        <f>SUM(R125:R127)</f>
        <v>2427293.3200000003</v>
      </c>
      <c r="T128" s="39">
        <f>SUM(T125:T127)</f>
        <v>1011706.26</v>
      </c>
      <c r="U128" s="78">
        <f>SUM(U125:U127)</f>
        <v>1415587.06</v>
      </c>
      <c r="V128" s="11">
        <f>SUM(T128:U128)-R128</f>
        <v>0</v>
      </c>
    </row>
    <row r="129" spans="1:22" x14ac:dyDescent="0.3">
      <c r="E129" s="15"/>
      <c r="O129" s="118"/>
    </row>
    <row r="130" spans="1:22" ht="15.5" x14ac:dyDescent="0.35">
      <c r="B130">
        <v>9</v>
      </c>
      <c r="C130" s="20">
        <f>+C124+1</f>
        <v>16</v>
      </c>
      <c r="D130" s="1" t="s">
        <v>14</v>
      </c>
      <c r="E130" s="25" t="s">
        <v>68</v>
      </c>
      <c r="O130" s="118"/>
    </row>
    <row r="131" spans="1:22" x14ac:dyDescent="0.3">
      <c r="B131">
        <v>9.1</v>
      </c>
      <c r="E131" s="8" t="s">
        <v>8</v>
      </c>
      <c r="F131" s="3">
        <v>395.42</v>
      </c>
      <c r="G131" s="3">
        <v>395.42</v>
      </c>
      <c r="H131" s="3">
        <v>395.42</v>
      </c>
      <c r="I131" s="3">
        <v>395.42</v>
      </c>
      <c r="J131" s="3">
        <v>382.92</v>
      </c>
      <c r="K131" s="3">
        <f>IF($B$130=12,'payment summary to Trustee'!$AW131,('payment summary to Trustee'!$BD131-'CDE Intercept  '!$T131)/4)</f>
        <v>670.1099999999999</v>
      </c>
      <c r="L131" s="3">
        <f>IF($B$130=12,'payment summary to Trustee'!$AW131,('payment summary to Trustee'!$BD131-'CDE Intercept  '!$T131)/4)</f>
        <v>670.1099999999999</v>
      </c>
      <c r="M131" s="3">
        <f>IF($B$130=12,'payment summary to Trustee'!$AW131,('payment summary to Trustee'!$BD131-'CDE Intercept  '!$T131)/4)</f>
        <v>670.1099999999999</v>
      </c>
      <c r="N131" s="3">
        <v>0</v>
      </c>
      <c r="O131" s="118">
        <f>IF($B$130=12,'payment summary to Trustee'!$AW131,('payment summary to Trustee'!$BD131-'CDE Intercept  '!$T131)/4)</f>
        <v>670.1099999999999</v>
      </c>
      <c r="P131" s="3">
        <v>0</v>
      </c>
      <c r="Q131" s="3">
        <v>0</v>
      </c>
      <c r="R131" s="3">
        <f>SUM(F131:Q131)</f>
        <v>4645.0399999999991</v>
      </c>
      <c r="T131" s="3">
        <f>SUM(F131:J131)</f>
        <v>1964.6000000000001</v>
      </c>
      <c r="U131" s="93">
        <f>SUM(K131:Q131)</f>
        <v>2680.4399999999996</v>
      </c>
      <c r="V131" s="11">
        <f>SUM(T131:U131)-R131</f>
        <v>0</v>
      </c>
    </row>
    <row r="132" spans="1:22" x14ac:dyDescent="0.3">
      <c r="B132">
        <v>9.1999999999999993</v>
      </c>
      <c r="E132" s="8" t="s">
        <v>9</v>
      </c>
      <c r="F132" s="3">
        <v>250</v>
      </c>
      <c r="G132" s="3">
        <v>0</v>
      </c>
      <c r="H132" s="3">
        <v>0</v>
      </c>
      <c r="I132" s="3">
        <v>0</v>
      </c>
      <c r="J132" s="3">
        <v>0</v>
      </c>
      <c r="K132" s="3">
        <f>IF($B$130=12,'payment summary to Trustee'!$AW132,('payment summary to Trustee'!$BD132-'CDE Intercept  '!$T132)/4)</f>
        <v>0</v>
      </c>
      <c r="L132" s="3">
        <f>IF($B$130=12,'payment summary to Trustee'!$AW132,('payment summary to Trustee'!$BD132-'CDE Intercept  '!$T132)/4)</f>
        <v>0</v>
      </c>
      <c r="M132" s="3">
        <f>IF($B$130=12,'payment summary to Trustee'!$AW132,('payment summary to Trustee'!$BD132-'CDE Intercept  '!$T132)/4)</f>
        <v>0</v>
      </c>
      <c r="N132" s="3">
        <f>IF($B$130=12,'payment summary to Trustee'!$AW132,('payment summary to Trustee'!$BD132-'CDE Intercept  '!$T132)/4)</f>
        <v>0</v>
      </c>
      <c r="O132" s="118">
        <f>IF($B$130=12,'payment summary to Trustee'!$AW132,('payment summary to Trustee'!$BD132-'CDE Intercept  '!$T132)/4)</f>
        <v>0</v>
      </c>
      <c r="P132" s="3">
        <v>0</v>
      </c>
      <c r="Q132" s="3">
        <v>0</v>
      </c>
      <c r="R132" s="3">
        <f>SUM(F132:Q132)</f>
        <v>250</v>
      </c>
      <c r="T132" s="3">
        <f t="shared" ref="T132:T133" si="49">SUM(F132:J132)</f>
        <v>250</v>
      </c>
      <c r="U132" s="93">
        <f>SUM(K132:Q132)</f>
        <v>0</v>
      </c>
      <c r="V132" s="11">
        <f>SUM(T132:U132)-R132</f>
        <v>0</v>
      </c>
    </row>
    <row r="133" spans="1:22" ht="13.5" thickBot="1" x14ac:dyDescent="0.35">
      <c r="A133" t="s">
        <v>69</v>
      </c>
      <c r="B133">
        <v>9.3000000000000007</v>
      </c>
      <c r="E133" s="8" t="s">
        <v>10</v>
      </c>
      <c r="F133" s="3">
        <f>12500+16160.42</f>
        <v>28660.42</v>
      </c>
      <c r="G133" s="3">
        <f>12916.67+15660.42</f>
        <v>28577.09</v>
      </c>
      <c r="H133" s="3">
        <f t="shared" ref="H133:J133" si="50">12916.67+15660.42</f>
        <v>28577.09</v>
      </c>
      <c r="I133" s="3">
        <f t="shared" si="50"/>
        <v>28577.09</v>
      </c>
      <c r="J133" s="3">
        <f t="shared" si="50"/>
        <v>28577.09</v>
      </c>
      <c r="K133" s="3">
        <f>IF($B$130=12,'payment summary to Trustee'!$AW133,('payment summary to Trustee'!$BD133-'CDE Intercept  '!$T133)/4)</f>
        <v>50009.907500000008</v>
      </c>
      <c r="L133" s="3">
        <f>IF($B$130=12,'payment summary to Trustee'!$AW133,('payment summary to Trustee'!$BD133-'CDE Intercept  '!$T133)/4)</f>
        <v>50009.907500000008</v>
      </c>
      <c r="M133" s="3">
        <f>IF($B$130=12,'payment summary to Trustee'!$AW133,('payment summary to Trustee'!$BD133-'CDE Intercept  '!$T133)/4)</f>
        <v>50009.907500000008</v>
      </c>
      <c r="N133" s="3">
        <v>0</v>
      </c>
      <c r="O133" s="118">
        <f>IF($B$130=12,'payment summary to Trustee'!$AW133,('payment summary to Trustee'!$BD133-'CDE Intercept  '!$T133)/4)</f>
        <v>50009.907500000008</v>
      </c>
      <c r="P133" s="3">
        <v>0</v>
      </c>
      <c r="Q133" s="3">
        <v>0</v>
      </c>
      <c r="R133" s="3">
        <f>SUM(F133:Q133)</f>
        <v>343008.41000000003</v>
      </c>
      <c r="T133" s="3">
        <f t="shared" si="49"/>
        <v>142968.78</v>
      </c>
      <c r="U133" s="94">
        <f>SUM(K133:Q133)</f>
        <v>200039.63000000003</v>
      </c>
      <c r="V133" s="11">
        <f>SUM(T133:U133)-R133</f>
        <v>0</v>
      </c>
    </row>
    <row r="134" spans="1:22" ht="13.5" thickBot="1" x14ac:dyDescent="0.35">
      <c r="E134" s="13" t="s">
        <v>70</v>
      </c>
      <c r="F134" s="22">
        <f t="shared" ref="F134:R134" si="51">SUM(F131:F133)</f>
        <v>29305.839999999997</v>
      </c>
      <c r="G134" s="22">
        <f t="shared" si="51"/>
        <v>28972.51</v>
      </c>
      <c r="H134" s="22">
        <f t="shared" si="51"/>
        <v>28972.51</v>
      </c>
      <c r="I134" s="22">
        <f t="shared" si="51"/>
        <v>28972.51</v>
      </c>
      <c r="J134" s="22">
        <f t="shared" si="51"/>
        <v>28960.01</v>
      </c>
      <c r="K134" s="22">
        <f t="shared" si="51"/>
        <v>50680.017500000009</v>
      </c>
      <c r="L134" s="22">
        <f t="shared" si="51"/>
        <v>50680.017500000009</v>
      </c>
      <c r="M134" s="22">
        <f t="shared" si="51"/>
        <v>50680.017500000009</v>
      </c>
      <c r="N134" s="22">
        <f t="shared" si="51"/>
        <v>0</v>
      </c>
      <c r="O134" s="119">
        <f t="shared" si="51"/>
        <v>50680.017500000009</v>
      </c>
      <c r="P134" s="22">
        <f t="shared" ref="P134" si="52">SUM(P131:P133)</f>
        <v>0</v>
      </c>
      <c r="Q134" s="22">
        <f t="shared" si="51"/>
        <v>0</v>
      </c>
      <c r="R134" s="22">
        <f t="shared" si="51"/>
        <v>347903.45</v>
      </c>
      <c r="T134" s="39">
        <f>SUM(T131:T133)</f>
        <v>145183.38</v>
      </c>
      <c r="U134" s="78">
        <f>SUM(U131:U133)</f>
        <v>202720.07000000004</v>
      </c>
      <c r="V134" s="11">
        <f>SUM(T134:U134)-R134</f>
        <v>0</v>
      </c>
    </row>
    <row r="135" spans="1:22" x14ac:dyDescent="0.3">
      <c r="E135" s="15"/>
      <c r="O135" s="118"/>
    </row>
    <row r="136" spans="1:22" ht="15.5" x14ac:dyDescent="0.35">
      <c r="B136">
        <v>9</v>
      </c>
      <c r="C136" s="20">
        <f>+C130+1</f>
        <v>17</v>
      </c>
      <c r="D136" s="1" t="s">
        <v>14</v>
      </c>
      <c r="E136" s="25" t="s">
        <v>71</v>
      </c>
      <c r="O136" s="118"/>
    </row>
    <row r="137" spans="1:22" x14ac:dyDescent="0.3">
      <c r="B137">
        <v>9.1</v>
      </c>
      <c r="E137" s="8" t="s">
        <v>8</v>
      </c>
      <c r="F137" s="3">
        <v>0</v>
      </c>
      <c r="G137" s="3">
        <f>SUM(F137:F137)</f>
        <v>0</v>
      </c>
      <c r="H137" s="3">
        <f>SUM(F137:G137)</f>
        <v>0</v>
      </c>
      <c r="I137" s="3">
        <f>SUM(F137:H137)</f>
        <v>0</v>
      </c>
      <c r="J137" s="3">
        <f>SUM(F137:I137)</f>
        <v>0</v>
      </c>
      <c r="K137" s="3">
        <f>IF($B$136=12,'payment summary to Trustee'!$AW137,('payment summary to Trustee'!$BD137-'CDE Intercept  '!$T137)/4)</f>
        <v>0</v>
      </c>
      <c r="L137" s="3">
        <f>IF($B$136=12,'payment summary to Trustee'!$AW137,('payment summary to Trustee'!$BD137-'CDE Intercept  '!$T137)/4)</f>
        <v>0</v>
      </c>
      <c r="M137" s="3">
        <f>IF($B$136=12,'payment summary to Trustee'!$AW137,('payment summary to Trustee'!$BD137-'CDE Intercept  '!$T137)/4)</f>
        <v>0</v>
      </c>
      <c r="N137" s="3">
        <v>0</v>
      </c>
      <c r="O137" s="118">
        <f>IF($B$136=12,'payment summary to Trustee'!$AW137,('payment summary to Trustee'!$BD137-'CDE Intercept  '!$T137)/4)</f>
        <v>0</v>
      </c>
      <c r="P137" s="3">
        <f>IF($B$136=12,'payment summary to Trustee'!$AW137,('payment summary to Trustee'!$BD137-'CDE Intercept  '!$T137)/4)</f>
        <v>0</v>
      </c>
      <c r="Q137" s="3">
        <f>SUM(F137:P137)</f>
        <v>0</v>
      </c>
      <c r="R137" s="3">
        <f>SUM(F137:Q137)</f>
        <v>0</v>
      </c>
      <c r="T137" s="3">
        <f>SUM(F137:J137)</f>
        <v>0</v>
      </c>
      <c r="U137" s="93">
        <f>SUM(K137:Q137)</f>
        <v>0</v>
      </c>
      <c r="V137" s="11">
        <f>SUM(T137:U137)-R137</f>
        <v>0</v>
      </c>
    </row>
    <row r="138" spans="1:22" x14ac:dyDescent="0.3">
      <c r="B138">
        <v>9.1999999999999993</v>
      </c>
      <c r="E138" s="8" t="s">
        <v>9</v>
      </c>
      <c r="F138" s="3">
        <v>250</v>
      </c>
      <c r="G138" s="3">
        <v>0</v>
      </c>
      <c r="H138" s="3">
        <v>0</v>
      </c>
      <c r="I138" s="3">
        <v>0</v>
      </c>
      <c r="J138" s="3">
        <v>0</v>
      </c>
      <c r="K138" s="3">
        <f>IF($B$136=12,'payment summary to Trustee'!$AW138,('payment summary to Trustee'!$BD138-'CDE Intercept  '!$T138)/4)</f>
        <v>0</v>
      </c>
      <c r="L138" s="3">
        <f>IF($B$136=12,'payment summary to Trustee'!$AW138,('payment summary to Trustee'!$BD138-'CDE Intercept  '!$T138)/4)</f>
        <v>0</v>
      </c>
      <c r="M138" s="3">
        <f>IF($B$136=12,'payment summary to Trustee'!$AW138,('payment summary to Trustee'!$BD138-'CDE Intercept  '!$T138)/4)</f>
        <v>0</v>
      </c>
      <c r="N138" s="3">
        <v>0</v>
      </c>
      <c r="O138" s="118">
        <f>IF($B$136=12,'payment summary to Trustee'!$AW138,('payment summary to Trustee'!$BD138-'CDE Intercept  '!$T138)/4)</f>
        <v>0</v>
      </c>
      <c r="P138" s="3">
        <f>IF($B$136=12,'payment summary to Trustee'!$AW138,('payment summary to Trustee'!$BD138-'CDE Intercept  '!$T138)/4)</f>
        <v>0</v>
      </c>
      <c r="Q138" s="3">
        <v>0</v>
      </c>
      <c r="R138" s="3">
        <f>SUM(F138:Q138)</f>
        <v>250</v>
      </c>
      <c r="T138" s="3">
        <f t="shared" ref="T138:T139" si="53">SUM(F138:J138)</f>
        <v>250</v>
      </c>
      <c r="U138" s="93">
        <f>SUM(K138:Q138)</f>
        <v>0</v>
      </c>
      <c r="V138" s="11">
        <f>SUM(T138:U138)-R138</f>
        <v>0</v>
      </c>
    </row>
    <row r="139" spans="1:22" ht="13.5" thickBot="1" x14ac:dyDescent="0.35">
      <c r="A139" t="s">
        <v>72</v>
      </c>
      <c r="B139">
        <v>9.3000000000000007</v>
      </c>
      <c r="E139" s="8" t="s">
        <v>10</v>
      </c>
      <c r="F139" s="3">
        <f>21666.67+52318.23</f>
        <v>73984.899999999994</v>
      </c>
      <c r="G139" s="3">
        <f>21666.67+52318.23</f>
        <v>73984.899999999994</v>
      </c>
      <c r="H139" s="3">
        <f>21666.67+52318.23</f>
        <v>73984.899999999994</v>
      </c>
      <c r="I139" s="3">
        <f>21666.67+52318.23</f>
        <v>73984.899999999994</v>
      </c>
      <c r="J139" s="3">
        <f>22916.67+51451.56</f>
        <v>74368.23</v>
      </c>
      <c r="K139" s="3">
        <f>IF($B$136=12,'payment summary to Trustee'!$AW139,('payment summary to Trustee'!$BD139-'CDE Intercept  '!$T139)/4)</f>
        <v>130144.40249999997</v>
      </c>
      <c r="L139" s="3">
        <f>IF($B$136=12,'payment summary to Trustee'!$AW139,('payment summary to Trustee'!$BD139-'CDE Intercept  '!$T139)/4)</f>
        <v>130144.40249999997</v>
      </c>
      <c r="M139" s="3">
        <f>IF($B$136=12,'payment summary to Trustee'!$AW139,('payment summary to Trustee'!$BD139-'CDE Intercept  '!$T139)/4)</f>
        <v>130144.40249999997</v>
      </c>
      <c r="N139" s="3">
        <v>0</v>
      </c>
      <c r="O139" s="118">
        <f>IF($B$136=12,'payment summary to Trustee'!$AW139,('payment summary to Trustee'!$BD139-'CDE Intercept  '!$T139)/4)</f>
        <v>130144.40249999997</v>
      </c>
      <c r="P139" s="3">
        <v>0</v>
      </c>
      <c r="Q139" s="3">
        <v>0</v>
      </c>
      <c r="R139" s="3">
        <f>SUM(F139:Q139)</f>
        <v>890885.43999999983</v>
      </c>
      <c r="T139" s="3">
        <f t="shared" si="53"/>
        <v>370307.82999999996</v>
      </c>
      <c r="U139" s="94">
        <f>SUM(K139:Q139)</f>
        <v>520577.60999999987</v>
      </c>
      <c r="V139" s="11">
        <f>SUM(T139:U139)-R139</f>
        <v>0</v>
      </c>
    </row>
    <row r="140" spans="1:22" ht="13.5" thickBot="1" x14ac:dyDescent="0.35">
      <c r="E140" s="13" t="s">
        <v>73</v>
      </c>
      <c r="F140" s="22">
        <f t="shared" ref="F140:R140" si="54">SUM(F137:F139)</f>
        <v>74234.899999999994</v>
      </c>
      <c r="G140" s="22">
        <f t="shared" si="54"/>
        <v>73984.899999999994</v>
      </c>
      <c r="H140" s="22">
        <f t="shared" si="54"/>
        <v>73984.899999999994</v>
      </c>
      <c r="I140" s="22">
        <f t="shared" si="54"/>
        <v>73984.899999999994</v>
      </c>
      <c r="J140" s="22">
        <f t="shared" si="54"/>
        <v>74368.23</v>
      </c>
      <c r="K140" s="22">
        <f t="shared" si="54"/>
        <v>130144.40249999997</v>
      </c>
      <c r="L140" s="22">
        <f t="shared" si="54"/>
        <v>130144.40249999997</v>
      </c>
      <c r="M140" s="22">
        <f t="shared" si="54"/>
        <v>130144.40249999997</v>
      </c>
      <c r="N140" s="22">
        <f t="shared" si="54"/>
        <v>0</v>
      </c>
      <c r="O140" s="119">
        <f t="shared" si="54"/>
        <v>130144.40249999997</v>
      </c>
      <c r="P140" s="22">
        <f t="shared" ref="P140" si="55">SUM(P137:P139)</f>
        <v>0</v>
      </c>
      <c r="Q140" s="22">
        <f t="shared" si="54"/>
        <v>0</v>
      </c>
      <c r="R140" s="22">
        <f t="shared" si="54"/>
        <v>891135.43999999983</v>
      </c>
      <c r="T140" s="39">
        <f>SUM(T137:T139)</f>
        <v>370557.82999999996</v>
      </c>
      <c r="U140" s="78">
        <f>SUM(U137:U139)</f>
        <v>520577.60999999987</v>
      </c>
      <c r="V140" s="11">
        <f>SUM(T140:U140)-R140</f>
        <v>0</v>
      </c>
    </row>
    <row r="141" spans="1:22" x14ac:dyDescent="0.3">
      <c r="E141" s="15"/>
      <c r="O141" s="118"/>
    </row>
    <row r="142" spans="1:22" ht="15.5" x14ac:dyDescent="0.35">
      <c r="C142" s="20"/>
      <c r="D142" s="32" t="s">
        <v>6</v>
      </c>
      <c r="E142" s="10" t="s">
        <v>74</v>
      </c>
      <c r="O142" s="118"/>
    </row>
    <row r="143" spans="1:22" x14ac:dyDescent="0.3">
      <c r="E143" s="8" t="s">
        <v>8</v>
      </c>
      <c r="O143" s="118"/>
    </row>
    <row r="144" spans="1:22" x14ac:dyDescent="0.3">
      <c r="E144" s="8" t="s">
        <v>9</v>
      </c>
      <c r="O144" s="118"/>
    </row>
    <row r="145" spans="1:22" ht="13.5" thickBot="1" x14ac:dyDescent="0.35">
      <c r="A145" t="s">
        <v>75</v>
      </c>
      <c r="E145" s="8" t="s">
        <v>10</v>
      </c>
      <c r="O145" s="118"/>
    </row>
    <row r="146" spans="1:22" ht="13.5" thickBot="1" x14ac:dyDescent="0.35">
      <c r="E146" s="13" t="s">
        <v>26</v>
      </c>
      <c r="O146" s="118"/>
    </row>
    <row r="147" spans="1:22" x14ac:dyDescent="0.3">
      <c r="E147" s="15"/>
      <c r="O147" s="118"/>
    </row>
    <row r="148" spans="1:22" ht="15.5" x14ac:dyDescent="0.35">
      <c r="B148">
        <v>9</v>
      </c>
      <c r="C148" s="20">
        <f>+C136+1</f>
        <v>18</v>
      </c>
      <c r="D148" s="1" t="s">
        <v>14</v>
      </c>
      <c r="E148" s="25" t="s">
        <v>76</v>
      </c>
      <c r="O148" s="118"/>
    </row>
    <row r="149" spans="1:22" x14ac:dyDescent="0.3">
      <c r="B149">
        <v>9.1</v>
      </c>
      <c r="E149" s="8" t="s">
        <v>8</v>
      </c>
      <c r="F149" s="3">
        <v>895</v>
      </c>
      <c r="G149" s="3">
        <v>895</v>
      </c>
      <c r="H149" s="3">
        <v>895</v>
      </c>
      <c r="I149" s="3">
        <v>895</v>
      </c>
      <c r="J149" s="3">
        <v>895</v>
      </c>
      <c r="K149" s="3">
        <f>IF($B$148=12,'payment summary to Trustee'!$AW149,('payment summary to Trustee'!$BD149-'CDE Intercept  '!$T149)/4)</f>
        <v>1505.0050000000001</v>
      </c>
      <c r="L149" s="3">
        <f>IF($B$148=12,'payment summary to Trustee'!$AW149,('payment summary to Trustee'!$BD149-'CDE Intercept  '!$T149)/4)</f>
        <v>1505.0050000000001</v>
      </c>
      <c r="M149" s="3">
        <f>IF($B$148=12,'payment summary to Trustee'!$AW149,('payment summary to Trustee'!$BD149-'CDE Intercept  '!$T149)/4)</f>
        <v>1505.0050000000001</v>
      </c>
      <c r="N149" s="3">
        <v>0</v>
      </c>
      <c r="O149" s="118">
        <f>IF($B$148=12,'payment summary to Trustee'!$AW149,('payment summary to Trustee'!$BD149-'CDE Intercept  '!$T149)/4)</f>
        <v>1505.0050000000001</v>
      </c>
      <c r="P149" s="3">
        <v>0</v>
      </c>
      <c r="Q149" s="3">
        <v>0</v>
      </c>
      <c r="R149" s="3">
        <f>SUM(F149:Q149)</f>
        <v>10495.02</v>
      </c>
      <c r="T149" s="3">
        <f>SUM(F149:J149)</f>
        <v>4475</v>
      </c>
      <c r="U149" s="93">
        <f>SUM(K149:Q149)</f>
        <v>6020.02</v>
      </c>
      <c r="V149" s="11">
        <f>SUM(T149:U149)-R149</f>
        <v>0</v>
      </c>
    </row>
    <row r="150" spans="1:22" x14ac:dyDescent="0.3">
      <c r="B150">
        <v>9.1999999999999993</v>
      </c>
      <c r="E150" s="8" t="s">
        <v>9</v>
      </c>
      <c r="F150" s="3">
        <v>250</v>
      </c>
      <c r="G150" s="3">
        <v>0</v>
      </c>
      <c r="H150" s="3">
        <v>0</v>
      </c>
      <c r="I150" s="3">
        <v>0</v>
      </c>
      <c r="J150" s="3">
        <v>0</v>
      </c>
      <c r="K150" s="3">
        <f>IF($B$148=12,'payment summary to Trustee'!$AW150,('payment summary to Trustee'!$BD150-'CDE Intercept  '!$T150)/4)</f>
        <v>0</v>
      </c>
      <c r="L150" s="3">
        <f>IF($B$148=12,'payment summary to Trustee'!$AW150,('payment summary to Trustee'!$BD150-'CDE Intercept  '!$T150)/4)</f>
        <v>0</v>
      </c>
      <c r="M150" s="3">
        <f>IF($B$148=12,'payment summary to Trustee'!$AW150,('payment summary to Trustee'!$BD150-'CDE Intercept  '!$T150)/4)</f>
        <v>0</v>
      </c>
      <c r="N150" s="3">
        <v>0</v>
      </c>
      <c r="O150" s="118">
        <f>IF($B$148=12,'payment summary to Trustee'!$AW150,('payment summary to Trustee'!$BD150-'CDE Intercept  '!$T150)/4)</f>
        <v>0</v>
      </c>
      <c r="P150" s="3">
        <v>0</v>
      </c>
      <c r="Q150" s="3">
        <v>0</v>
      </c>
      <c r="R150" s="3">
        <f>SUM(F150:Q150)</f>
        <v>250</v>
      </c>
      <c r="T150" s="3">
        <f t="shared" ref="T150:T151" si="56">SUM(F150:J150)</f>
        <v>250</v>
      </c>
      <c r="U150" s="93">
        <f>SUM(K150:Q150)</f>
        <v>0</v>
      </c>
      <c r="V150" s="11">
        <f>SUM(T150:U150)-R150</f>
        <v>0</v>
      </c>
    </row>
    <row r="151" spans="1:22" ht="13.5" thickBot="1" x14ac:dyDescent="0.35">
      <c r="A151" t="s">
        <v>77</v>
      </c>
      <c r="B151">
        <v>9.3000000000000007</v>
      </c>
      <c r="E151" s="8" t="s">
        <v>10</v>
      </c>
      <c r="F151" s="3">
        <f>40833.33+36844.79</f>
        <v>77678.12</v>
      </c>
      <c r="G151" s="3">
        <f>40833.33+36844.79</f>
        <v>77678.12</v>
      </c>
      <c r="H151" s="3">
        <f>40833.37+36844.8</f>
        <v>77678.170000000013</v>
      </c>
      <c r="I151" s="3">
        <f>42083.33+35211.46</f>
        <v>77294.790000000008</v>
      </c>
      <c r="J151" s="3">
        <f>42083.33+35211.46</f>
        <v>77294.790000000008</v>
      </c>
      <c r="K151" s="3">
        <f>IF($C$148=12,'payment summary to Trustee'!$AW151,('payment summary to Trustee'!$BD151-'CDE Intercept  '!$T151)/4)</f>
        <v>135265.88000000006</v>
      </c>
      <c r="L151" s="3">
        <f>IF($C$148=12,'payment summary to Trustee'!$AW151,('payment summary to Trustee'!$BD151-'CDE Intercept  '!$T151)/4)</f>
        <v>135265.88000000006</v>
      </c>
      <c r="M151" s="3">
        <f>IF($C$148=12,'payment summary to Trustee'!$AW151,('payment summary to Trustee'!$BD151-'CDE Intercept  '!$T151)/4)</f>
        <v>135265.88000000006</v>
      </c>
      <c r="N151" s="3">
        <v>0</v>
      </c>
      <c r="O151" s="118">
        <f>IF($C$148=12,'payment summary to Trustee'!$AW151,('payment summary to Trustee'!$BD151-'CDE Intercept  '!$T151)/4)</f>
        <v>135265.88000000006</v>
      </c>
      <c r="P151" s="3">
        <v>0</v>
      </c>
      <c r="Q151" s="3">
        <v>0</v>
      </c>
      <c r="R151" s="3">
        <f>SUM(F151:Q151)</f>
        <v>928687.51000000024</v>
      </c>
      <c r="T151" s="3">
        <f t="shared" si="56"/>
        <v>387623.99</v>
      </c>
      <c r="U151" s="94">
        <f>SUM(K151:Q151)</f>
        <v>541063.52000000025</v>
      </c>
      <c r="V151" s="11">
        <f>SUM(T151:U151)-R151</f>
        <v>0</v>
      </c>
    </row>
    <row r="152" spans="1:22" ht="13.5" thickBot="1" x14ac:dyDescent="0.35">
      <c r="E152" s="13" t="s">
        <v>78</v>
      </c>
      <c r="F152" s="22">
        <f t="shared" ref="F152:R152" si="57">SUM(F149:F151)</f>
        <v>78823.12</v>
      </c>
      <c r="G152" s="22">
        <f t="shared" si="57"/>
        <v>78573.119999999995</v>
      </c>
      <c r="H152" s="22">
        <f t="shared" si="57"/>
        <v>78573.170000000013</v>
      </c>
      <c r="I152" s="22">
        <f t="shared" si="57"/>
        <v>78189.790000000008</v>
      </c>
      <c r="J152" s="22">
        <f t="shared" si="57"/>
        <v>78189.790000000008</v>
      </c>
      <c r="K152" s="22">
        <f t="shared" si="57"/>
        <v>136770.88500000007</v>
      </c>
      <c r="L152" s="22">
        <f t="shared" si="57"/>
        <v>136770.88500000007</v>
      </c>
      <c r="M152" s="22">
        <f t="shared" si="57"/>
        <v>136770.88500000007</v>
      </c>
      <c r="N152" s="22">
        <f t="shared" si="57"/>
        <v>0</v>
      </c>
      <c r="O152" s="119">
        <f t="shared" si="57"/>
        <v>136770.88500000007</v>
      </c>
      <c r="P152" s="22">
        <f t="shared" ref="P152" si="58">SUM(P149:P151)</f>
        <v>0</v>
      </c>
      <c r="Q152" s="22">
        <f t="shared" si="57"/>
        <v>0</v>
      </c>
      <c r="R152" s="22">
        <f t="shared" si="57"/>
        <v>939432.53000000026</v>
      </c>
      <c r="T152" s="39">
        <f>SUM(T149:T151)</f>
        <v>392348.99</v>
      </c>
      <c r="U152" s="78">
        <f>SUM(U149:U151)</f>
        <v>547083.54000000027</v>
      </c>
      <c r="V152" s="11">
        <f>SUM(T152:U152)-R152</f>
        <v>0</v>
      </c>
    </row>
    <row r="153" spans="1:22" x14ac:dyDescent="0.3">
      <c r="E153" s="15"/>
      <c r="O153" s="118"/>
    </row>
    <row r="154" spans="1:22" ht="15.5" x14ac:dyDescent="0.35">
      <c r="B154">
        <v>9</v>
      </c>
      <c r="C154" s="20">
        <f>+C148+1</f>
        <v>19</v>
      </c>
      <c r="D154" s="1" t="s">
        <v>14</v>
      </c>
      <c r="E154" s="25" t="s">
        <v>79</v>
      </c>
      <c r="O154" s="118"/>
    </row>
    <row r="155" spans="1:22" x14ac:dyDescent="0.3">
      <c r="B155">
        <v>9.1</v>
      </c>
      <c r="E155" s="8" t="s">
        <v>8</v>
      </c>
      <c r="F155" s="3">
        <v>841.67</v>
      </c>
      <c r="G155" s="3">
        <v>841.67</v>
      </c>
      <c r="H155" s="3">
        <v>841.67</v>
      </c>
      <c r="I155" s="3">
        <v>841.67</v>
      </c>
      <c r="J155" s="3">
        <v>841.67</v>
      </c>
      <c r="K155" s="3">
        <f>IF($B$154=12,'payment summary to Trustee'!$AW155,('payment summary to Trustee'!$BD155-'CDE Intercept  '!$T155)/4)</f>
        <v>1423.4350000000002</v>
      </c>
      <c r="L155" s="3">
        <f>IF($B$154=12,'payment summary to Trustee'!$AW155,('payment summary to Trustee'!$BD155-'CDE Intercept  '!$T155)/4)</f>
        <v>1423.4350000000002</v>
      </c>
      <c r="M155" s="3">
        <f>IF($B$154=12,'payment summary to Trustee'!$AW155,('payment summary to Trustee'!$BD155-'CDE Intercept  '!$T155)/4)</f>
        <v>1423.4350000000002</v>
      </c>
      <c r="N155" s="3">
        <v>0</v>
      </c>
      <c r="O155" s="118">
        <f>IF($B$154=12,'payment summary to Trustee'!$AW155,('payment summary to Trustee'!$BD155-'CDE Intercept  '!$T155)/4)</f>
        <v>1423.4350000000002</v>
      </c>
      <c r="P155" s="3">
        <v>0</v>
      </c>
      <c r="Q155" s="3">
        <v>0</v>
      </c>
      <c r="R155" s="3">
        <f>SUM(F155:Q155)</f>
        <v>9902.09</v>
      </c>
      <c r="T155" s="3">
        <f>SUM(F155:J155)</f>
        <v>4208.3499999999995</v>
      </c>
      <c r="U155" s="93">
        <f>SUM(K155:Q155)</f>
        <v>5693.7400000000007</v>
      </c>
      <c r="V155" s="11">
        <f>SUM(T155:U155)-R155</f>
        <v>0</v>
      </c>
    </row>
    <row r="156" spans="1:22" x14ac:dyDescent="0.3">
      <c r="B156">
        <v>9.1999999999999993</v>
      </c>
      <c r="E156" s="8" t="s">
        <v>9</v>
      </c>
      <c r="F156" s="3">
        <v>250</v>
      </c>
      <c r="G156" s="3">
        <v>0</v>
      </c>
      <c r="H156" s="3">
        <v>0</v>
      </c>
      <c r="I156" s="3">
        <v>0</v>
      </c>
      <c r="J156" s="3">
        <v>0</v>
      </c>
      <c r="K156" s="3">
        <f>IF($B$154=12,'payment summary to Trustee'!$AW156,('payment summary to Trustee'!$BD156-'CDE Intercept  '!$T156)/4)</f>
        <v>0</v>
      </c>
      <c r="L156" s="3">
        <f>IF($B$154=12,'payment summary to Trustee'!$AW156,('payment summary to Trustee'!$BD156-'CDE Intercept  '!$T156)/4)</f>
        <v>0</v>
      </c>
      <c r="M156" s="3">
        <f>IF($B$154=12,'payment summary to Trustee'!$AW156,('payment summary to Trustee'!$BD156-'CDE Intercept  '!$T156)/4)</f>
        <v>0</v>
      </c>
      <c r="N156" s="3">
        <v>0</v>
      </c>
      <c r="O156" s="118">
        <f>IF($B$154=12,'payment summary to Trustee'!$AW156,('payment summary to Trustee'!$BD156-'CDE Intercept  '!$T156)/4)</f>
        <v>0</v>
      </c>
      <c r="P156" s="3">
        <v>0</v>
      </c>
      <c r="Q156" s="3">
        <v>0</v>
      </c>
      <c r="R156" s="3">
        <f>SUM(F156:Q156)</f>
        <v>250</v>
      </c>
      <c r="T156" s="3">
        <f t="shared" ref="T156:T157" si="59">SUM(F156:J156)</f>
        <v>250</v>
      </c>
      <c r="U156" s="93">
        <f>SUM(K156:Q156)</f>
        <v>0</v>
      </c>
      <c r="V156" s="11">
        <f>SUM(T156:U156)-R156</f>
        <v>0</v>
      </c>
    </row>
    <row r="157" spans="1:22" ht="13.5" thickBot="1" x14ac:dyDescent="0.35">
      <c r="A157" t="s">
        <v>80</v>
      </c>
      <c r="B157">
        <v>9.3000000000000007</v>
      </c>
      <c r="E157" s="8" t="s">
        <v>10</v>
      </c>
      <c r="F157" s="3">
        <f>44166.67+45269.79</f>
        <v>89436.459999999992</v>
      </c>
      <c r="G157" s="3">
        <f>44166.67+45269.79</f>
        <v>89436.459999999992</v>
      </c>
      <c r="H157" s="3">
        <f>44166.67+45269.79</f>
        <v>89436.459999999992</v>
      </c>
      <c r="I157" s="3">
        <f>44166.67+45269.79</f>
        <v>89436.459999999992</v>
      </c>
      <c r="J157" s="3">
        <f>44166.63+45269.8</f>
        <v>89436.43</v>
      </c>
      <c r="K157" s="3">
        <f>IF($B$154=12,'payment summary to Trustee'!$AW157,('payment summary to Trustee'!$BD157-'CDE Intercept  '!$T157)/4)</f>
        <v>155669.79750000004</v>
      </c>
      <c r="L157" s="3">
        <f>IF($B$154=12,'payment summary to Trustee'!$AW157,('payment summary to Trustee'!$BD157-'CDE Intercept  '!$T157)/4)</f>
        <v>155669.79750000004</v>
      </c>
      <c r="M157" s="3">
        <f>IF($B$154=12,'payment summary to Trustee'!$AW157,('payment summary to Trustee'!$BD157-'CDE Intercept  '!$T157)/4)</f>
        <v>155669.79750000004</v>
      </c>
      <c r="N157" s="3">
        <v>0</v>
      </c>
      <c r="O157" s="118">
        <f>IF($B$154=12,'payment summary to Trustee'!$AW157,('payment summary to Trustee'!$BD157-'CDE Intercept  '!$T157)/4)</f>
        <v>155669.79750000004</v>
      </c>
      <c r="P157" s="3">
        <v>0</v>
      </c>
      <c r="Q157" s="3">
        <v>0</v>
      </c>
      <c r="R157" s="3">
        <f>SUM(F157:Q157)</f>
        <v>1069861.4600000002</v>
      </c>
      <c r="T157" s="3">
        <f t="shared" si="59"/>
        <v>447182.26999999996</v>
      </c>
      <c r="U157" s="94">
        <f>SUM(K157:Q157)</f>
        <v>622679.19000000018</v>
      </c>
      <c r="V157" s="11">
        <f>SUM(T157:U157)-R157</f>
        <v>0</v>
      </c>
    </row>
    <row r="158" spans="1:22" ht="13.5" thickBot="1" x14ac:dyDescent="0.35">
      <c r="E158" s="13" t="s">
        <v>67</v>
      </c>
      <c r="F158" s="22">
        <f t="shared" ref="F158:R158" si="60">SUM(F155:F157)</f>
        <v>90528.12999999999</v>
      </c>
      <c r="G158" s="22">
        <f t="shared" si="60"/>
        <v>90278.12999999999</v>
      </c>
      <c r="H158" s="22">
        <f t="shared" si="60"/>
        <v>90278.12999999999</v>
      </c>
      <c r="I158" s="22">
        <f t="shared" si="60"/>
        <v>90278.12999999999</v>
      </c>
      <c r="J158" s="22">
        <f t="shared" si="60"/>
        <v>90278.099999999991</v>
      </c>
      <c r="K158" s="22">
        <f t="shared" si="60"/>
        <v>157093.23250000004</v>
      </c>
      <c r="L158" s="22">
        <f t="shared" si="60"/>
        <v>157093.23250000004</v>
      </c>
      <c r="M158" s="22">
        <f t="shared" si="60"/>
        <v>157093.23250000004</v>
      </c>
      <c r="N158" s="22">
        <f t="shared" si="60"/>
        <v>0</v>
      </c>
      <c r="O158" s="119">
        <f t="shared" si="60"/>
        <v>157093.23250000004</v>
      </c>
      <c r="P158" s="22">
        <f t="shared" ref="P158" si="61">SUM(P155:P157)</f>
        <v>0</v>
      </c>
      <c r="Q158" s="22">
        <f t="shared" si="60"/>
        <v>0</v>
      </c>
      <c r="R158" s="22">
        <f t="shared" si="60"/>
        <v>1080013.5500000003</v>
      </c>
      <c r="T158" s="39">
        <f>SUM(T155:T157)</f>
        <v>451640.61999999994</v>
      </c>
      <c r="U158" s="78">
        <f>SUM(U155:U157)</f>
        <v>628372.93000000017</v>
      </c>
      <c r="V158" s="11">
        <f>SUM(T158:U158)-R158</f>
        <v>0</v>
      </c>
    </row>
    <row r="159" spans="1:22" x14ac:dyDescent="0.3">
      <c r="E159" s="15"/>
      <c r="O159" s="118"/>
    </row>
    <row r="160" spans="1:22" ht="15.5" x14ac:dyDescent="0.35">
      <c r="B160">
        <v>9</v>
      </c>
      <c r="C160" s="20">
        <f>+C154+1</f>
        <v>20</v>
      </c>
      <c r="D160" s="1" t="s">
        <v>14</v>
      </c>
      <c r="E160" s="25" t="s">
        <v>81</v>
      </c>
      <c r="O160" s="118"/>
    </row>
    <row r="161" spans="1:22" x14ac:dyDescent="0.3">
      <c r="B161">
        <v>9.1</v>
      </c>
      <c r="E161" s="8" t="s">
        <v>8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f>IF($B$160=12,'payment summary to Trustee'!$AW161,('payment summary to Trustee'!$BD161-'CDE Intercept  '!$T161)/4)</f>
        <v>0</v>
      </c>
      <c r="L161" s="3">
        <f>IF($B$160=12,'payment summary to Trustee'!$AW161,('payment summary to Trustee'!$BD161-'CDE Intercept  '!$T161)/4)</f>
        <v>0</v>
      </c>
      <c r="M161" s="3">
        <f>IF($B$160=12,'payment summary to Trustee'!$AW161,('payment summary to Trustee'!$BD161-'CDE Intercept  '!$T161)/4)</f>
        <v>0</v>
      </c>
      <c r="N161" s="3">
        <v>0</v>
      </c>
      <c r="O161" s="118">
        <f>IF($B$160=12,'payment summary to Trustee'!$AW161,('payment summary to Trustee'!$BD161-'CDE Intercept  '!$T161)/4)</f>
        <v>0</v>
      </c>
      <c r="P161" s="3">
        <v>0</v>
      </c>
      <c r="Q161" s="3">
        <v>0</v>
      </c>
      <c r="R161" s="3">
        <f>SUM(F161:Q161)</f>
        <v>0</v>
      </c>
      <c r="T161" s="3">
        <f>SUM(F161:J161)</f>
        <v>0</v>
      </c>
      <c r="U161" s="93">
        <f>SUM(K161:Q161)</f>
        <v>0</v>
      </c>
      <c r="V161" s="11">
        <f>SUM(T161:U161)-R161</f>
        <v>0</v>
      </c>
    </row>
    <row r="162" spans="1:22" x14ac:dyDescent="0.3">
      <c r="B162">
        <v>9.1999999999999993</v>
      </c>
      <c r="E162" s="8" t="s">
        <v>9</v>
      </c>
      <c r="F162" s="3">
        <v>250</v>
      </c>
      <c r="G162" s="3">
        <v>0</v>
      </c>
      <c r="H162" s="3">
        <v>0</v>
      </c>
      <c r="I162" s="3">
        <v>0</v>
      </c>
      <c r="J162" s="3">
        <v>0</v>
      </c>
      <c r="K162" s="3">
        <f>IF($B$160=12,'payment summary to Trustee'!$AW162,('payment summary to Trustee'!$BD162-'CDE Intercept  '!$T162)/4)</f>
        <v>0</v>
      </c>
      <c r="L162" s="3">
        <f>IF($B$160=12,'payment summary to Trustee'!$AW162,('payment summary to Trustee'!$BD162-'CDE Intercept  '!$T162)/4)</f>
        <v>0</v>
      </c>
      <c r="M162" s="3">
        <f>IF($B$160=12,'payment summary to Trustee'!$AW162,('payment summary to Trustee'!$BD162-'CDE Intercept  '!$T162)/4)</f>
        <v>0</v>
      </c>
      <c r="N162" s="3">
        <v>0</v>
      </c>
      <c r="O162" s="118">
        <f>IF($B$160=12,'payment summary to Trustee'!$AW162,('payment summary to Trustee'!$BD162-'CDE Intercept  '!$T162)/4)</f>
        <v>0</v>
      </c>
      <c r="P162" s="3">
        <v>0</v>
      </c>
      <c r="Q162" s="3">
        <v>0</v>
      </c>
      <c r="R162" s="3">
        <f>SUM(F162:Q162)</f>
        <v>250</v>
      </c>
      <c r="T162" s="3">
        <f t="shared" ref="T162:T163" si="62">SUM(F162:J162)</f>
        <v>250</v>
      </c>
      <c r="U162" s="93">
        <f>SUM(K162:Q162)</f>
        <v>0</v>
      </c>
      <c r="V162" s="11">
        <f>SUM(T162:U162)-R162</f>
        <v>0</v>
      </c>
    </row>
    <row r="163" spans="1:22" ht="13.5" thickBot="1" x14ac:dyDescent="0.35">
      <c r="A163" t="s">
        <v>82</v>
      </c>
      <c r="B163">
        <v>9.3000000000000007</v>
      </c>
      <c r="E163" s="8" t="s">
        <v>10</v>
      </c>
      <c r="F163" s="3">
        <f>55000+103166.67</f>
        <v>158166.66999999998</v>
      </c>
      <c r="G163" s="3">
        <f>55000+103166.67</f>
        <v>158166.66999999998</v>
      </c>
      <c r="H163" s="3">
        <f>55000+103166.67</f>
        <v>158166.66999999998</v>
      </c>
      <c r="I163" s="3">
        <f>55000+103166.67</f>
        <v>158166.66999999998</v>
      </c>
      <c r="J163" s="3">
        <f>55000+103166.65</f>
        <v>158166.65</v>
      </c>
      <c r="K163" s="3">
        <f>IF($B$160=12,'payment summary to Trustee'!$AW163,('payment summary to Trustee'!$BD163-'CDE Intercept  '!$T163)/4)</f>
        <v>277316.66749999986</v>
      </c>
      <c r="L163" s="3">
        <f>IF($B$160=12,'payment summary to Trustee'!$AW163,('payment summary to Trustee'!$BD163-'CDE Intercept  '!$T163)/4)</f>
        <v>277316.66749999986</v>
      </c>
      <c r="M163" s="3">
        <f>IF($B$160=12,'payment summary to Trustee'!$AW163,('payment summary to Trustee'!$BD163-'CDE Intercept  '!$T163)/4)</f>
        <v>277316.66749999986</v>
      </c>
      <c r="N163" s="3">
        <v>0</v>
      </c>
      <c r="O163" s="118">
        <f>IF($B$160=12,'payment summary to Trustee'!$AW163,('payment summary to Trustee'!$BD163-'CDE Intercept  '!$T163)/4)</f>
        <v>277316.66749999986</v>
      </c>
      <c r="P163" s="3">
        <v>0</v>
      </c>
      <c r="Q163" s="3">
        <v>0</v>
      </c>
      <c r="R163" s="3">
        <f>SUM(F163:Q163)</f>
        <v>1900099.9999999995</v>
      </c>
      <c r="T163" s="3">
        <f t="shared" si="62"/>
        <v>790833.33</v>
      </c>
      <c r="U163" s="94">
        <f>SUM(K163:Q163)</f>
        <v>1109266.6699999995</v>
      </c>
      <c r="V163" s="11">
        <f>SUM(T163:U163)-R163</f>
        <v>0</v>
      </c>
    </row>
    <row r="164" spans="1:22" ht="13.5" thickBot="1" x14ac:dyDescent="0.35">
      <c r="E164" s="13" t="s">
        <v>83</v>
      </c>
      <c r="F164" s="22">
        <f t="shared" ref="F164:R164" si="63">SUM(F161:F163)</f>
        <v>158416.66999999998</v>
      </c>
      <c r="G164" s="22">
        <f t="shared" si="63"/>
        <v>158166.66999999998</v>
      </c>
      <c r="H164" s="22">
        <f t="shared" si="63"/>
        <v>158166.66999999998</v>
      </c>
      <c r="I164" s="22">
        <f t="shared" si="63"/>
        <v>158166.66999999998</v>
      </c>
      <c r="J164" s="22">
        <f t="shared" si="63"/>
        <v>158166.65</v>
      </c>
      <c r="K164" s="22">
        <f t="shared" si="63"/>
        <v>277316.66749999986</v>
      </c>
      <c r="L164" s="22">
        <f t="shared" si="63"/>
        <v>277316.66749999986</v>
      </c>
      <c r="M164" s="22">
        <f t="shared" si="63"/>
        <v>277316.66749999986</v>
      </c>
      <c r="N164" s="22">
        <f t="shared" si="63"/>
        <v>0</v>
      </c>
      <c r="O164" s="119">
        <f t="shared" si="63"/>
        <v>277316.66749999986</v>
      </c>
      <c r="P164" s="22">
        <f t="shared" ref="P164" si="64">SUM(P161:P163)</f>
        <v>0</v>
      </c>
      <c r="Q164" s="22">
        <f t="shared" si="63"/>
        <v>0</v>
      </c>
      <c r="R164" s="22">
        <f t="shared" si="63"/>
        <v>1900349.9999999995</v>
      </c>
      <c r="T164" s="39">
        <f>SUM(T161:T163)</f>
        <v>791083.33</v>
      </c>
      <c r="U164" s="78">
        <f>SUM(U161:U163)</f>
        <v>1109266.6699999995</v>
      </c>
      <c r="V164" s="11">
        <f>SUM(T164:U164)-R164</f>
        <v>0</v>
      </c>
    </row>
    <row r="165" spans="1:22" x14ac:dyDescent="0.3">
      <c r="E165" s="15"/>
      <c r="O165" s="118"/>
    </row>
    <row r="166" spans="1:22" ht="15.5" x14ac:dyDescent="0.35">
      <c r="C166" s="20"/>
      <c r="D166" s="30" t="s">
        <v>6</v>
      </c>
      <c r="E166" s="10" t="s">
        <v>84</v>
      </c>
      <c r="O166" s="118"/>
    </row>
    <row r="167" spans="1:22" x14ac:dyDescent="0.3">
      <c r="E167" s="8" t="s">
        <v>8</v>
      </c>
      <c r="O167" s="118"/>
    </row>
    <row r="168" spans="1:22" x14ac:dyDescent="0.3">
      <c r="E168" s="8" t="s">
        <v>9</v>
      </c>
      <c r="O168" s="118"/>
    </row>
    <row r="169" spans="1:22" ht="13.5" thickBot="1" x14ac:dyDescent="0.35">
      <c r="E169" s="8" t="s">
        <v>10</v>
      </c>
      <c r="O169" s="118"/>
    </row>
    <row r="170" spans="1:22" ht="13.5" thickBot="1" x14ac:dyDescent="0.35">
      <c r="E170" s="13" t="s">
        <v>85</v>
      </c>
      <c r="O170" s="118"/>
    </row>
    <row r="171" spans="1:22" x14ac:dyDescent="0.3">
      <c r="E171" s="15"/>
      <c r="O171" s="118"/>
    </row>
    <row r="172" spans="1:22" ht="15.5" x14ac:dyDescent="0.35">
      <c r="B172">
        <v>9</v>
      </c>
      <c r="C172" s="20">
        <f>+C160+1</f>
        <v>21</v>
      </c>
      <c r="D172" s="1" t="s">
        <v>14</v>
      </c>
      <c r="E172" s="25" t="s">
        <v>86</v>
      </c>
      <c r="O172" s="118"/>
    </row>
    <row r="173" spans="1:22" x14ac:dyDescent="0.3">
      <c r="B173">
        <v>9.1</v>
      </c>
      <c r="E173" s="8" t="s">
        <v>8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f>IF($C$172=12,'payment summary to Trustee'!$AW173,('payment summary to Trustee'!$BD173-'CDE Intercept  '!$T173)/4)</f>
        <v>0</v>
      </c>
      <c r="L173" s="3">
        <f>IF($C$172=12,'payment summary to Trustee'!$AW173,('payment summary to Trustee'!$BD173-'CDE Intercept  '!$T173)/4)</f>
        <v>0</v>
      </c>
      <c r="M173" s="3">
        <f>IF($C$172=12,'payment summary to Trustee'!$AW173,('payment summary to Trustee'!$BD173-'CDE Intercept  '!$T173)/4)</f>
        <v>0</v>
      </c>
      <c r="N173" s="3">
        <v>0</v>
      </c>
      <c r="O173" s="118">
        <f>IF($C$172=12,'payment summary to Trustee'!$AW173,('payment summary to Trustee'!$BD173-'CDE Intercept  '!$T173)/4)</f>
        <v>0</v>
      </c>
      <c r="P173" s="3">
        <v>0</v>
      </c>
      <c r="Q173" s="3">
        <v>0</v>
      </c>
      <c r="R173" s="3">
        <f>SUM(F173:Q173)</f>
        <v>0</v>
      </c>
      <c r="T173" s="3">
        <f>SUM(F173:J173)</f>
        <v>0</v>
      </c>
      <c r="U173" s="93">
        <f>SUM(K173:Q173)</f>
        <v>0</v>
      </c>
      <c r="V173" s="11">
        <f>SUM(T173:U173)-R173</f>
        <v>0</v>
      </c>
    </row>
    <row r="174" spans="1:22" x14ac:dyDescent="0.3">
      <c r="B174">
        <v>9.1999999999999993</v>
      </c>
      <c r="E174" s="8" t="s">
        <v>9</v>
      </c>
      <c r="F174" s="3">
        <v>250</v>
      </c>
      <c r="G174" s="3">
        <v>0</v>
      </c>
      <c r="H174" s="3">
        <v>0</v>
      </c>
      <c r="I174" s="3">
        <v>0</v>
      </c>
      <c r="J174" s="3">
        <v>0</v>
      </c>
      <c r="K174" s="3">
        <f>IF($B$172=12,'payment summary to Trustee'!$AW174,('payment summary to Trustee'!$BD174-'CDE Intercept  '!$T174)/4)</f>
        <v>0</v>
      </c>
      <c r="L174" s="3">
        <f>IF($B$172=12,'payment summary to Trustee'!$AW174,('payment summary to Trustee'!$BD174-'CDE Intercept  '!$T174)/4)</f>
        <v>0</v>
      </c>
      <c r="M174" s="3">
        <f>IF($B$172=12,'payment summary to Trustee'!$AW174,('payment summary to Trustee'!$BD174-'CDE Intercept  '!$T174)/4)</f>
        <v>0</v>
      </c>
      <c r="N174" s="3">
        <v>0</v>
      </c>
      <c r="O174" s="118">
        <f>IF($B$172=12,'payment summary to Trustee'!$AW174,('payment summary to Trustee'!$BD174-'CDE Intercept  '!$T174)/4)</f>
        <v>0</v>
      </c>
      <c r="P174" s="3">
        <v>0</v>
      </c>
      <c r="Q174" s="3">
        <v>0</v>
      </c>
      <c r="R174" s="3">
        <f>SUM(F174:Q174)</f>
        <v>250</v>
      </c>
      <c r="T174" s="3">
        <f t="shared" ref="T174:T175" si="65">SUM(F174:J174)</f>
        <v>250</v>
      </c>
      <c r="U174" s="93">
        <f>SUM(K174:Q174)</f>
        <v>0</v>
      </c>
      <c r="V174" s="11">
        <f>SUM(T174:U174)-R174</f>
        <v>0</v>
      </c>
    </row>
    <row r="175" spans="1:22" ht="13.5" thickBot="1" x14ac:dyDescent="0.35">
      <c r="A175" t="s">
        <v>87</v>
      </c>
      <c r="B175">
        <v>9.3000000000000007</v>
      </c>
      <c r="E175" s="8" t="s">
        <v>10</v>
      </c>
      <c r="F175" s="3">
        <f>20833.33+40613.54</f>
        <v>61446.87</v>
      </c>
      <c r="G175" s="3">
        <f t="shared" ref="G175:J175" si="66">20833.33+40613.54</f>
        <v>61446.87</v>
      </c>
      <c r="H175" s="3">
        <f t="shared" si="66"/>
        <v>61446.87</v>
      </c>
      <c r="I175" s="3">
        <f t="shared" si="66"/>
        <v>61446.87</v>
      </c>
      <c r="J175" s="3">
        <f t="shared" si="66"/>
        <v>61446.87</v>
      </c>
      <c r="K175" s="3">
        <f>IF($B$172=12,'payment summary to Trustee'!$AW175,('payment summary to Trustee'!$BD175-'CDE Intercept  '!$T175)/4)</f>
        <v>107525.515</v>
      </c>
      <c r="L175" s="3">
        <f>IF($B$172=12,'payment summary to Trustee'!$AW175,('payment summary to Trustee'!$BD175-'CDE Intercept  '!$T175)/4)</f>
        <v>107525.515</v>
      </c>
      <c r="M175" s="3">
        <f>IF($B$172=12,'payment summary to Trustee'!$AW175,('payment summary to Trustee'!$BD175-'CDE Intercept  '!$T175)/4)</f>
        <v>107525.515</v>
      </c>
      <c r="N175" s="3">
        <v>0</v>
      </c>
      <c r="O175" s="118">
        <f>IF($B$172=12,'payment summary to Trustee'!$AW175,('payment summary to Trustee'!$BD175-'CDE Intercept  '!$T175)/4)</f>
        <v>107525.515</v>
      </c>
      <c r="P175" s="3">
        <v>0</v>
      </c>
      <c r="Q175" s="3">
        <v>0</v>
      </c>
      <c r="R175" s="3">
        <f>SUM(F175:Q175)</f>
        <v>737336.41</v>
      </c>
      <c r="T175" s="3">
        <f t="shared" si="65"/>
        <v>307234.35000000003</v>
      </c>
      <c r="U175" s="94">
        <f>SUM(K175:Q175)</f>
        <v>430102.06</v>
      </c>
      <c r="V175" s="11">
        <f>SUM(T175:U175)-R175</f>
        <v>0</v>
      </c>
    </row>
    <row r="176" spans="1:22" ht="13.5" thickBot="1" x14ac:dyDescent="0.35">
      <c r="E176" s="13" t="s">
        <v>88</v>
      </c>
      <c r="F176" s="22">
        <f t="shared" ref="F176:R176" si="67">SUM(F173:F175)</f>
        <v>61696.87</v>
      </c>
      <c r="G176" s="22">
        <f t="shared" si="67"/>
        <v>61446.87</v>
      </c>
      <c r="H176" s="22">
        <f t="shared" si="67"/>
        <v>61446.87</v>
      </c>
      <c r="I176" s="22">
        <f t="shared" si="67"/>
        <v>61446.87</v>
      </c>
      <c r="J176" s="22">
        <f t="shared" si="67"/>
        <v>61446.87</v>
      </c>
      <c r="K176" s="22">
        <f t="shared" si="67"/>
        <v>107525.515</v>
      </c>
      <c r="L176" s="22">
        <f t="shared" si="67"/>
        <v>107525.515</v>
      </c>
      <c r="M176" s="22">
        <f t="shared" si="67"/>
        <v>107525.515</v>
      </c>
      <c r="N176" s="22">
        <f t="shared" si="67"/>
        <v>0</v>
      </c>
      <c r="O176" s="119">
        <f t="shared" si="67"/>
        <v>107525.515</v>
      </c>
      <c r="P176" s="22">
        <f t="shared" ref="P176" si="68">SUM(P173:P175)</f>
        <v>0</v>
      </c>
      <c r="Q176" s="22">
        <f t="shared" si="67"/>
        <v>0</v>
      </c>
      <c r="R176" s="22">
        <f t="shared" si="67"/>
        <v>737586.41</v>
      </c>
      <c r="T176" s="39">
        <f>SUM(T173:T175)</f>
        <v>307484.35000000003</v>
      </c>
      <c r="U176" s="78">
        <f>SUM(U173:U175)</f>
        <v>430102.06</v>
      </c>
      <c r="V176" s="11">
        <f>SUM(T176:U176)-R176</f>
        <v>0</v>
      </c>
    </row>
    <row r="177" spans="1:22" x14ac:dyDescent="0.3">
      <c r="E177" s="15"/>
      <c r="O177" s="118"/>
    </row>
    <row r="178" spans="1:22" ht="15.5" x14ac:dyDescent="0.35">
      <c r="B178">
        <v>9</v>
      </c>
      <c r="C178" s="20">
        <f>+C172+1</f>
        <v>22</v>
      </c>
      <c r="D178" s="1" t="s">
        <v>14</v>
      </c>
      <c r="E178" s="25" t="s">
        <v>89</v>
      </c>
      <c r="O178" s="118"/>
    </row>
    <row r="179" spans="1:22" x14ac:dyDescent="0.3">
      <c r="B179">
        <v>9.1</v>
      </c>
      <c r="E179" s="8" t="s">
        <v>8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f>IF($B$178=12,'payment summary to Trustee'!$AW179,('payment summary to Trustee'!$BD179-'CDE Intercept  '!$T179)/4)</f>
        <v>0</v>
      </c>
      <c r="L179" s="3">
        <f>IF($B$178=12,'payment summary to Trustee'!$AW179,('payment summary to Trustee'!$BD179-'CDE Intercept  '!$T179)/4)</f>
        <v>0</v>
      </c>
      <c r="M179" s="3">
        <f>IF($B$178=12,'payment summary to Trustee'!$AW179,('payment summary to Trustee'!$BD179-'CDE Intercept  '!$T179)/4)</f>
        <v>0</v>
      </c>
      <c r="N179" s="3">
        <v>0</v>
      </c>
      <c r="O179" s="118">
        <f>IF($B$178=12,'payment summary to Trustee'!$AW179,('payment summary to Trustee'!$BD179-'CDE Intercept  '!$T179)/4)</f>
        <v>0</v>
      </c>
      <c r="P179" s="3">
        <v>0</v>
      </c>
      <c r="Q179" s="3">
        <v>0</v>
      </c>
      <c r="R179" s="3">
        <f>SUM(F179:Q179)</f>
        <v>0</v>
      </c>
      <c r="T179" s="3">
        <f>SUM(F179:J179)</f>
        <v>0</v>
      </c>
      <c r="U179" s="93">
        <f>SUM(K179:Q179)</f>
        <v>0</v>
      </c>
      <c r="V179" s="11">
        <f>SUM(T179:U179)-R179</f>
        <v>0</v>
      </c>
    </row>
    <row r="180" spans="1:22" x14ac:dyDescent="0.3">
      <c r="B180">
        <v>9.1999999999999993</v>
      </c>
      <c r="E180" s="8" t="s">
        <v>9</v>
      </c>
      <c r="F180" s="3">
        <v>250</v>
      </c>
      <c r="G180" s="3">
        <v>0</v>
      </c>
      <c r="H180" s="3">
        <v>0</v>
      </c>
      <c r="I180" s="3">
        <v>0</v>
      </c>
      <c r="J180" s="3">
        <v>0</v>
      </c>
      <c r="K180" s="3">
        <f>IF($B$178=12,'payment summary to Trustee'!$AW180,('payment summary to Trustee'!$BD180-'CDE Intercept  '!$T180)/4)</f>
        <v>0</v>
      </c>
      <c r="L180" s="3">
        <f>IF($B$178=12,'payment summary to Trustee'!$AW180,('payment summary to Trustee'!$BD180-'CDE Intercept  '!$T180)/4)</f>
        <v>0</v>
      </c>
      <c r="M180" s="3">
        <f>IF($B$178=12,'payment summary to Trustee'!$AW180,('payment summary to Trustee'!$BD180-'CDE Intercept  '!$T180)/4)</f>
        <v>0</v>
      </c>
      <c r="N180" s="3">
        <v>0</v>
      </c>
      <c r="O180" s="118">
        <f>IF($B$178=12,'payment summary to Trustee'!$AW180,('payment summary to Trustee'!$BD180-'CDE Intercept  '!$T180)/4)</f>
        <v>0</v>
      </c>
      <c r="P180" s="3">
        <v>0</v>
      </c>
      <c r="Q180" s="3">
        <v>0</v>
      </c>
      <c r="R180" s="3">
        <f>SUM(F180:Q180)</f>
        <v>250</v>
      </c>
      <c r="T180" s="3">
        <f t="shared" ref="T180:T181" si="69">SUM(F180:J180)</f>
        <v>250</v>
      </c>
      <c r="U180" s="93">
        <f>SUM(K180:Q180)</f>
        <v>0</v>
      </c>
      <c r="V180" s="11">
        <f>SUM(T180:U180)-R180</f>
        <v>0</v>
      </c>
    </row>
    <row r="181" spans="1:22" ht="13.5" thickBot="1" x14ac:dyDescent="0.35">
      <c r="A181" t="s">
        <v>90</v>
      </c>
      <c r="B181">
        <v>9.3000000000000007</v>
      </c>
      <c r="E181" s="8" t="s">
        <v>10</v>
      </c>
      <c r="F181" s="3">
        <f>54407.5+41644.87</f>
        <v>96052.37</v>
      </c>
      <c r="G181" s="3">
        <f>56257.5+39795.02</f>
        <v>96052.51999999999</v>
      </c>
      <c r="H181" s="3">
        <f t="shared" ref="H181:J181" si="70">56257.5+39795.02</f>
        <v>96052.51999999999</v>
      </c>
      <c r="I181" s="3">
        <f t="shared" si="70"/>
        <v>96052.51999999999</v>
      </c>
      <c r="J181" s="3">
        <f t="shared" si="70"/>
        <v>96052.51999999999</v>
      </c>
      <c r="K181" s="3">
        <f>IF($B$178=12,'payment summary to Trustee'!$AW181,('payment summary to Trustee'!$BD181-'CDE Intercept  '!$T181)/4)</f>
        <v>168091.91000000003</v>
      </c>
      <c r="L181" s="3">
        <f>IF($B$178=12,'payment summary to Trustee'!$AW181,('payment summary to Trustee'!$BD181-'CDE Intercept  '!$T181)/4)</f>
        <v>168091.91000000003</v>
      </c>
      <c r="M181" s="3">
        <f>IF($B$178=12,'payment summary to Trustee'!$AW181,('payment summary to Trustee'!$BD181-'CDE Intercept  '!$T181)/4)</f>
        <v>168091.91000000003</v>
      </c>
      <c r="N181" s="3">
        <v>0</v>
      </c>
      <c r="O181" s="118">
        <f>IF($B$178=12,'payment summary to Trustee'!$AW181,('payment summary to Trustee'!$BD181-'CDE Intercept  '!$T181)/4)</f>
        <v>168091.91000000003</v>
      </c>
      <c r="P181" s="3">
        <v>0</v>
      </c>
      <c r="Q181" s="3">
        <v>0</v>
      </c>
      <c r="R181" s="3">
        <f>SUM(F181:Q181)</f>
        <v>1152630.0900000001</v>
      </c>
      <c r="T181" s="3">
        <f t="shared" si="69"/>
        <v>480262.44999999995</v>
      </c>
      <c r="U181" s="94">
        <f>SUM(K181:Q181)</f>
        <v>672367.64000000013</v>
      </c>
      <c r="V181" s="11">
        <f>SUM(T181:U181)-R181</f>
        <v>0</v>
      </c>
    </row>
    <row r="182" spans="1:22" ht="13.5" thickBot="1" x14ac:dyDescent="0.35">
      <c r="E182" s="13" t="s">
        <v>91</v>
      </c>
      <c r="F182" s="22">
        <f t="shared" ref="F182:R182" si="71">SUM(F179:F181)</f>
        <v>96302.37</v>
      </c>
      <c r="G182" s="22">
        <f t="shared" si="71"/>
        <v>96052.51999999999</v>
      </c>
      <c r="H182" s="22">
        <f t="shared" si="71"/>
        <v>96052.51999999999</v>
      </c>
      <c r="I182" s="22">
        <f t="shared" si="71"/>
        <v>96052.51999999999</v>
      </c>
      <c r="J182" s="22">
        <f t="shared" si="71"/>
        <v>96052.51999999999</v>
      </c>
      <c r="K182" s="22">
        <f t="shared" si="71"/>
        <v>168091.91000000003</v>
      </c>
      <c r="L182" s="22">
        <f t="shared" si="71"/>
        <v>168091.91000000003</v>
      </c>
      <c r="M182" s="22">
        <f t="shared" si="71"/>
        <v>168091.91000000003</v>
      </c>
      <c r="N182" s="22">
        <f t="shared" si="71"/>
        <v>0</v>
      </c>
      <c r="O182" s="119">
        <f t="shared" si="71"/>
        <v>168091.91000000003</v>
      </c>
      <c r="P182" s="22">
        <f t="shared" ref="P182" si="72">SUM(P179:P181)</f>
        <v>0</v>
      </c>
      <c r="Q182" s="22">
        <f t="shared" si="71"/>
        <v>0</v>
      </c>
      <c r="R182" s="22">
        <f t="shared" si="71"/>
        <v>1152880.0900000001</v>
      </c>
      <c r="T182" s="39">
        <f>SUM(T179:T181)</f>
        <v>480512.44999999995</v>
      </c>
      <c r="U182" s="78">
        <f>SUM(U179:U181)</f>
        <v>672367.64000000013</v>
      </c>
      <c r="V182" s="11">
        <f>SUM(T182:U182)-R182</f>
        <v>0</v>
      </c>
    </row>
    <row r="183" spans="1:22" x14ac:dyDescent="0.3">
      <c r="E183" s="15"/>
      <c r="O183" s="118"/>
    </row>
    <row r="184" spans="1:22" ht="15.5" x14ac:dyDescent="0.35">
      <c r="A184" s="96"/>
      <c r="B184" s="96">
        <v>9</v>
      </c>
      <c r="C184" s="35"/>
      <c r="D184" s="30" t="s">
        <v>14</v>
      </c>
      <c r="E184" s="10" t="s">
        <v>49</v>
      </c>
      <c r="O184" s="118"/>
    </row>
    <row r="185" spans="1:22" x14ac:dyDescent="0.3">
      <c r="B185">
        <v>9.1</v>
      </c>
      <c r="E185" s="8" t="s">
        <v>8</v>
      </c>
      <c r="F185" s="3">
        <v>213.75</v>
      </c>
      <c r="G185" s="3">
        <v>213.75</v>
      </c>
      <c r="H185" s="3">
        <v>213.75</v>
      </c>
      <c r="I185" s="3">
        <v>213.75</v>
      </c>
      <c r="J185" s="3">
        <v>213.75</v>
      </c>
      <c r="K185" s="60">
        <f>362.39-362.39</f>
        <v>0</v>
      </c>
      <c r="L185" s="3">
        <v>0</v>
      </c>
      <c r="M185" s="3">
        <v>0</v>
      </c>
      <c r="N185" s="3">
        <v>0</v>
      </c>
      <c r="O185" s="118">
        <v>0</v>
      </c>
      <c r="P185" s="3">
        <v>0</v>
      </c>
      <c r="Q185" s="3">
        <v>0</v>
      </c>
      <c r="R185" s="3">
        <f>SUM(F185:Q185)</f>
        <v>1068.75</v>
      </c>
      <c r="T185" s="3">
        <f>SUM(F185:J185)</f>
        <v>1068.75</v>
      </c>
      <c r="U185" s="93">
        <f>SUM(K185:Q185)</f>
        <v>0</v>
      </c>
      <c r="V185" s="11">
        <f>SUM(T185:U185)-R185</f>
        <v>0</v>
      </c>
    </row>
    <row r="186" spans="1:22" x14ac:dyDescent="0.3">
      <c r="B186">
        <v>9.1999999999999993</v>
      </c>
      <c r="E186" s="8" t="s">
        <v>9</v>
      </c>
      <c r="F186" s="3">
        <v>250</v>
      </c>
      <c r="G186" s="3">
        <v>0</v>
      </c>
      <c r="H186" s="3">
        <v>0</v>
      </c>
      <c r="I186" s="3">
        <v>0</v>
      </c>
      <c r="J186" s="3">
        <v>0</v>
      </c>
      <c r="K186" s="60">
        <v>0</v>
      </c>
      <c r="L186" s="3">
        <v>0</v>
      </c>
      <c r="M186" s="3">
        <v>0</v>
      </c>
      <c r="N186" s="3">
        <v>0</v>
      </c>
      <c r="O186" s="118">
        <v>0</v>
      </c>
      <c r="P186" s="3">
        <v>0</v>
      </c>
      <c r="Q186" s="3">
        <v>0</v>
      </c>
      <c r="R186" s="3">
        <f>SUM(F186:Q186)</f>
        <v>250</v>
      </c>
      <c r="T186" s="3">
        <f t="shared" ref="T186:T187" si="73">SUM(F186:J186)</f>
        <v>250</v>
      </c>
      <c r="U186" s="93">
        <f>SUM(K186:Q186)</f>
        <v>0</v>
      </c>
      <c r="V186" s="11">
        <f>SUM(T186:U186)-R186</f>
        <v>0</v>
      </c>
    </row>
    <row r="187" spans="1:22" ht="13.5" thickBot="1" x14ac:dyDescent="0.35">
      <c r="A187" t="s">
        <v>50</v>
      </c>
      <c r="B187">
        <v>9.3000000000000007</v>
      </c>
      <c r="E187" s="8" t="s">
        <v>10</v>
      </c>
      <c r="F187" s="3">
        <f>6666.67+8027.61</f>
        <v>14694.279999999999</v>
      </c>
      <c r="G187" s="3">
        <f>6666.67+8027.61</f>
        <v>14694.279999999999</v>
      </c>
      <c r="H187" s="3">
        <f>6666.67+8027.61</f>
        <v>14694.279999999999</v>
      </c>
      <c r="I187" s="3">
        <f>6666.67+8027.61</f>
        <v>14694.279999999999</v>
      </c>
      <c r="J187" s="3">
        <f>6666.67+8027.61</f>
        <v>14694.279999999999</v>
      </c>
      <c r="K187" s="60">
        <f>25414.97-25414.97</f>
        <v>0</v>
      </c>
      <c r="L187" s="3">
        <v>0</v>
      </c>
      <c r="M187" s="3">
        <v>0</v>
      </c>
      <c r="N187" s="3">
        <v>0</v>
      </c>
      <c r="O187" s="118">
        <v>0</v>
      </c>
      <c r="P187" s="3">
        <v>0</v>
      </c>
      <c r="Q187" s="3">
        <v>0</v>
      </c>
      <c r="R187" s="3">
        <f>SUM(F187:Q187)</f>
        <v>73471.399999999994</v>
      </c>
      <c r="T187" s="3">
        <f t="shared" si="73"/>
        <v>73471.399999999994</v>
      </c>
      <c r="U187" s="94">
        <f>SUM(K187:Q187)</f>
        <v>0</v>
      </c>
      <c r="V187" s="11">
        <f>SUM(T187:U187)-R187</f>
        <v>0</v>
      </c>
    </row>
    <row r="188" spans="1:22" ht="13.5" thickBot="1" x14ac:dyDescent="0.35">
      <c r="E188" s="13" t="s">
        <v>51</v>
      </c>
      <c r="F188" s="22">
        <f t="shared" ref="F188:R188" si="74">SUM(F185:F187)</f>
        <v>15158.029999999999</v>
      </c>
      <c r="G188" s="22">
        <f t="shared" si="74"/>
        <v>14908.029999999999</v>
      </c>
      <c r="H188" s="22">
        <f t="shared" si="74"/>
        <v>14908.029999999999</v>
      </c>
      <c r="I188" s="22">
        <f t="shared" si="74"/>
        <v>14908.029999999999</v>
      </c>
      <c r="J188" s="22">
        <f t="shared" si="74"/>
        <v>14908.029999999999</v>
      </c>
      <c r="K188" s="98">
        <f t="shared" ref="K188" si="75">SUM(K185:K187)</f>
        <v>0</v>
      </c>
      <c r="L188" s="22">
        <f t="shared" si="74"/>
        <v>0</v>
      </c>
      <c r="M188" s="22">
        <f t="shared" si="74"/>
        <v>0</v>
      </c>
      <c r="N188" s="22">
        <f t="shared" si="74"/>
        <v>0</v>
      </c>
      <c r="O188" s="119">
        <f t="shared" si="74"/>
        <v>0</v>
      </c>
      <c r="P188" s="22">
        <f t="shared" si="74"/>
        <v>0</v>
      </c>
      <c r="Q188" s="22">
        <f t="shared" si="74"/>
        <v>0</v>
      </c>
      <c r="R188" s="22">
        <f t="shared" si="74"/>
        <v>74790.149999999994</v>
      </c>
      <c r="S188" t="s">
        <v>14</v>
      </c>
      <c r="T188" s="39">
        <f>SUM(T185:T187)</f>
        <v>74790.149999999994</v>
      </c>
      <c r="U188" s="78">
        <f>SUM(U185:U187)</f>
        <v>0</v>
      </c>
      <c r="V188" s="11">
        <f>SUM(T188:U188)-R188</f>
        <v>0</v>
      </c>
    </row>
    <row r="189" spans="1:22" x14ac:dyDescent="0.3">
      <c r="E189" s="15"/>
      <c r="O189" s="118"/>
    </row>
    <row r="190" spans="1:22" ht="15.5" x14ac:dyDescent="0.35">
      <c r="B190">
        <v>9</v>
      </c>
      <c r="C190" s="1">
        <f>C178+1</f>
        <v>23</v>
      </c>
      <c r="D190" s="24" t="s">
        <v>14</v>
      </c>
      <c r="E190" s="25" t="s">
        <v>92</v>
      </c>
      <c r="O190" s="118"/>
    </row>
    <row r="191" spans="1:22" x14ac:dyDescent="0.3">
      <c r="B191">
        <v>9.1</v>
      </c>
      <c r="E191" s="8" t="s">
        <v>8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f>IF($B$190=12,'payment summary to Trustee'!$AW191,('payment summary to Trustee'!$BD191-'CDE Intercept  '!$T191)/4)</f>
        <v>0</v>
      </c>
      <c r="L191" s="3">
        <f>IF($B$190=12,'payment summary to Trustee'!$AW191,('payment summary to Trustee'!$BD191-'CDE Intercept  '!$T191)/4)</f>
        <v>0</v>
      </c>
      <c r="M191" s="3">
        <f>IF($B$190=12,'payment summary to Trustee'!$AW191,('payment summary to Trustee'!$BD191-'CDE Intercept  '!$T191)/4)</f>
        <v>0</v>
      </c>
      <c r="N191" s="3">
        <v>0</v>
      </c>
      <c r="O191" s="118">
        <f>IF($B$190=12,'payment summary to Trustee'!$AW191,('payment summary to Trustee'!$BD191-'CDE Intercept  '!$T191)/4)</f>
        <v>0</v>
      </c>
      <c r="P191" s="3">
        <v>0</v>
      </c>
      <c r="Q191" s="3">
        <v>0</v>
      </c>
      <c r="R191" s="3">
        <f>SUM(F191:Q191)</f>
        <v>0</v>
      </c>
      <c r="T191" s="3">
        <f>SUM(F191:J191)</f>
        <v>0</v>
      </c>
      <c r="U191" s="93">
        <f>SUM(K191:Q191)</f>
        <v>0</v>
      </c>
      <c r="V191" s="11">
        <f>SUM(T191:U191)-R191</f>
        <v>0</v>
      </c>
    </row>
    <row r="192" spans="1:22" x14ac:dyDescent="0.3">
      <c r="B192">
        <v>9.1999999999999993</v>
      </c>
      <c r="E192" s="8" t="s">
        <v>9</v>
      </c>
      <c r="F192" s="3">
        <v>250</v>
      </c>
      <c r="G192" s="3">
        <v>0</v>
      </c>
      <c r="H192" s="3">
        <v>0</v>
      </c>
      <c r="I192" s="3">
        <v>0</v>
      </c>
      <c r="J192" s="3">
        <v>0</v>
      </c>
      <c r="K192" s="3">
        <f>IF($B$190=12,'payment summary to Trustee'!$AW192,('payment summary to Trustee'!$BD192-'CDE Intercept  '!$T192)/4)</f>
        <v>0</v>
      </c>
      <c r="L192" s="3">
        <f>IF($B$190=12,'payment summary to Trustee'!$AW192,('payment summary to Trustee'!$BD192-'CDE Intercept  '!$T192)/4)</f>
        <v>0</v>
      </c>
      <c r="M192" s="3">
        <f>IF($B$190=12,'payment summary to Trustee'!$AW192,('payment summary to Trustee'!$BD192-'CDE Intercept  '!$T192)/4)</f>
        <v>0</v>
      </c>
      <c r="N192" s="3">
        <v>0</v>
      </c>
      <c r="O192" s="118">
        <f>IF($B$190=12,'payment summary to Trustee'!$AW192,('payment summary to Trustee'!$BD192-'CDE Intercept  '!$T192)/4)</f>
        <v>0</v>
      </c>
      <c r="P192" s="3">
        <v>0</v>
      </c>
      <c r="Q192" s="3">
        <v>0</v>
      </c>
      <c r="R192" s="3">
        <f>SUM(F192:Q192)</f>
        <v>250</v>
      </c>
      <c r="T192" s="3">
        <f t="shared" ref="T192:T193" si="76">SUM(F192:J192)</f>
        <v>250</v>
      </c>
      <c r="U192" s="93">
        <f>SUM(K192:Q192)</f>
        <v>0</v>
      </c>
      <c r="V192" s="11">
        <f>SUM(T192:U192)-R192</f>
        <v>0</v>
      </c>
    </row>
    <row r="193" spans="1:22" ht="13.5" thickBot="1" x14ac:dyDescent="0.35">
      <c r="A193" t="s">
        <v>93</v>
      </c>
      <c r="B193">
        <v>9.3000000000000007</v>
      </c>
      <c r="E193" s="8" t="s">
        <v>10</v>
      </c>
      <c r="F193" s="3">
        <f>12916.67+32359.38</f>
        <v>45276.05</v>
      </c>
      <c r="G193" s="3">
        <f>12916.67+32359.38</f>
        <v>45276.05</v>
      </c>
      <c r="H193" s="3">
        <f t="shared" ref="H193:J193" si="77">12916.67+32359.38</f>
        <v>45276.05</v>
      </c>
      <c r="I193" s="3">
        <f t="shared" si="77"/>
        <v>45276.05</v>
      </c>
      <c r="J193" s="3">
        <f t="shared" si="77"/>
        <v>45276.05</v>
      </c>
      <c r="K193" s="3">
        <f>IF($B$190=12,'payment summary to Trustee'!$AW193,('payment summary to Trustee'!$BD193-'CDE Intercept  '!$T193)/4)</f>
        <v>56595.062499999985</v>
      </c>
      <c r="L193" s="3">
        <f>IF($B$190=12,'payment summary to Trustee'!$AW193,('payment summary to Trustee'!$BD193-'CDE Intercept  '!$T193)/4)</f>
        <v>56595.062499999985</v>
      </c>
      <c r="M193" s="3">
        <f>IF($B$190=12,'payment summary to Trustee'!$AW193,('payment summary to Trustee'!$BD193-'CDE Intercept  '!$T193)/4)</f>
        <v>56595.062499999985</v>
      </c>
      <c r="N193" s="3">
        <v>0</v>
      </c>
      <c r="O193" s="118">
        <f>IF($B$190=12,'payment summary to Trustee'!$AW193,('payment summary to Trustee'!$BD193-'CDE Intercept  '!$T193)/4)</f>
        <v>56595.062499999985</v>
      </c>
      <c r="P193" s="3">
        <v>0</v>
      </c>
      <c r="Q193" s="3">
        <v>0</v>
      </c>
      <c r="R193" s="3">
        <f>SUM(F193:Q193)</f>
        <v>452760.5</v>
      </c>
      <c r="T193" s="3">
        <f t="shared" si="76"/>
        <v>226380.25</v>
      </c>
      <c r="U193" s="94">
        <f>SUM(K193:Q193)</f>
        <v>226380.24999999994</v>
      </c>
      <c r="V193" s="11">
        <f>SUM(T193:U193)-R193</f>
        <v>0</v>
      </c>
    </row>
    <row r="194" spans="1:22" ht="13.5" thickBot="1" x14ac:dyDescent="0.35">
      <c r="E194" s="13" t="s">
        <v>94</v>
      </c>
      <c r="F194" s="22">
        <f t="shared" ref="F194:R194" si="78">SUM(F191:F193)</f>
        <v>45526.05</v>
      </c>
      <c r="G194" s="22">
        <f t="shared" si="78"/>
        <v>45276.05</v>
      </c>
      <c r="H194" s="22">
        <f t="shared" si="78"/>
        <v>45276.05</v>
      </c>
      <c r="I194" s="22">
        <f t="shared" si="78"/>
        <v>45276.05</v>
      </c>
      <c r="J194" s="22">
        <f t="shared" si="78"/>
        <v>45276.05</v>
      </c>
      <c r="K194" s="22">
        <f t="shared" si="78"/>
        <v>56595.062499999985</v>
      </c>
      <c r="L194" s="22">
        <f t="shared" si="78"/>
        <v>56595.062499999985</v>
      </c>
      <c r="M194" s="22">
        <f t="shared" si="78"/>
        <v>56595.062499999985</v>
      </c>
      <c r="N194" s="22">
        <f t="shared" si="78"/>
        <v>0</v>
      </c>
      <c r="O194" s="119">
        <f t="shared" si="78"/>
        <v>56595.062499999985</v>
      </c>
      <c r="P194" s="22">
        <f t="shared" ref="P194" si="79">SUM(P191:P193)</f>
        <v>0</v>
      </c>
      <c r="Q194" s="22">
        <f t="shared" si="78"/>
        <v>0</v>
      </c>
      <c r="R194" s="22">
        <f t="shared" si="78"/>
        <v>453010.5</v>
      </c>
      <c r="T194" s="39">
        <f>SUM(T191:T193)</f>
        <v>226630.25</v>
      </c>
      <c r="U194" s="78">
        <f>SUM(U191:U193)</f>
        <v>226380.24999999994</v>
      </c>
      <c r="V194" s="11">
        <f>SUM(T194:U194)-R194</f>
        <v>0</v>
      </c>
    </row>
    <row r="195" spans="1:22" x14ac:dyDescent="0.3">
      <c r="E195" s="15"/>
      <c r="O195" s="118"/>
    </row>
    <row r="196" spans="1:22" ht="15.5" x14ac:dyDescent="0.35">
      <c r="B196">
        <v>9</v>
      </c>
      <c r="C196" s="1">
        <f>C190+1</f>
        <v>24</v>
      </c>
      <c r="D196" s="24" t="s">
        <v>14</v>
      </c>
      <c r="E196" s="25" t="s">
        <v>95</v>
      </c>
      <c r="O196" s="118"/>
    </row>
    <row r="197" spans="1:22" x14ac:dyDescent="0.3">
      <c r="B197">
        <v>9.1</v>
      </c>
      <c r="E197" s="8" t="s">
        <v>8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f>IF($B$196=12,'payment summary to Trustee'!$AW197,('payment summary to Trustee'!$BD197-'CDE Intercept  '!$T197)/4)</f>
        <v>0</v>
      </c>
      <c r="L197" s="3">
        <f>IF($B$196=12,'payment summary to Trustee'!$AW197,('payment summary to Trustee'!$BD197-'CDE Intercept  '!$T197)/4)</f>
        <v>0</v>
      </c>
      <c r="M197" s="3">
        <f>IF($B$196=12,'payment summary to Trustee'!$AW197,('payment summary to Trustee'!$BD197-'CDE Intercept  '!$T197)/4)</f>
        <v>0</v>
      </c>
      <c r="N197" s="3">
        <v>0</v>
      </c>
      <c r="O197" s="118">
        <f>IF($B$196=12,'payment summary to Trustee'!$AW197,('payment summary to Trustee'!$BD197-'CDE Intercept  '!$T197)/4)</f>
        <v>0</v>
      </c>
      <c r="P197" s="3">
        <v>0</v>
      </c>
      <c r="Q197" s="3">
        <v>0</v>
      </c>
      <c r="R197" s="3">
        <f>SUM(F197:Q197)</f>
        <v>0</v>
      </c>
      <c r="T197" s="3">
        <f>SUM(F197:J197)</f>
        <v>0</v>
      </c>
      <c r="U197" s="93">
        <f>SUM(K197:Q197)</f>
        <v>0</v>
      </c>
      <c r="V197" s="11">
        <f>SUM(T197:U197)-R197</f>
        <v>0</v>
      </c>
    </row>
    <row r="198" spans="1:22" x14ac:dyDescent="0.3">
      <c r="B198">
        <v>9.1999999999999993</v>
      </c>
      <c r="E198" s="8" t="s">
        <v>9</v>
      </c>
      <c r="F198" s="3">
        <v>250</v>
      </c>
      <c r="G198" s="3">
        <v>0</v>
      </c>
      <c r="H198" s="3">
        <v>0</v>
      </c>
      <c r="I198" s="3">
        <v>0</v>
      </c>
      <c r="J198" s="3">
        <v>0</v>
      </c>
      <c r="K198" s="3">
        <f>IF($B$196=12,'payment summary to Trustee'!$AW198,('payment summary to Trustee'!$BD198-'CDE Intercept  '!$T198)/4)</f>
        <v>0</v>
      </c>
      <c r="L198" s="3">
        <f>IF($B$196=12,'payment summary to Trustee'!$AW198,('payment summary to Trustee'!$BD198-'CDE Intercept  '!$T198)/4)</f>
        <v>0</v>
      </c>
      <c r="M198" s="3">
        <f>IF($B$196=12,'payment summary to Trustee'!$AW198,('payment summary to Trustee'!$BD198-'CDE Intercept  '!$T198)/4)</f>
        <v>0</v>
      </c>
      <c r="N198" s="3">
        <f>IF($B$196=12,'payment summary to Trustee'!$AW198,('payment summary to Trustee'!$BD198-'CDE Intercept  '!$T198)/4)</f>
        <v>0</v>
      </c>
      <c r="O198" s="118">
        <f>IF($B$196=12,'payment summary to Trustee'!$AW198,('payment summary to Trustee'!$BD198-'CDE Intercept  '!$T198)/4)</f>
        <v>0</v>
      </c>
      <c r="P198" s="3">
        <v>0</v>
      </c>
      <c r="Q198" s="3">
        <v>0</v>
      </c>
      <c r="R198" s="3">
        <f>SUM(F198:Q198)</f>
        <v>250</v>
      </c>
      <c r="T198" s="3">
        <f t="shared" ref="T198:T199" si="80">SUM(F198:J198)</f>
        <v>250</v>
      </c>
      <c r="U198" s="93">
        <f>SUM(K198:Q198)</f>
        <v>0</v>
      </c>
      <c r="V198" s="11">
        <f>SUM(T198:U198)-R198</f>
        <v>0</v>
      </c>
    </row>
    <row r="199" spans="1:22" ht="13.5" thickBot="1" x14ac:dyDescent="0.35">
      <c r="A199" t="s">
        <v>96</v>
      </c>
      <c r="B199">
        <v>9.3000000000000007</v>
      </c>
      <c r="E199" s="8" t="s">
        <v>10</v>
      </c>
      <c r="F199" s="3">
        <f>2083.33+6056.25</f>
        <v>8139.58</v>
      </c>
      <c r="G199" s="3">
        <f t="shared" ref="G199:J199" si="81">2083.33+6056.25</f>
        <v>8139.58</v>
      </c>
      <c r="H199" s="3">
        <f t="shared" si="81"/>
        <v>8139.58</v>
      </c>
      <c r="I199" s="3">
        <f t="shared" si="81"/>
        <v>8139.58</v>
      </c>
      <c r="J199" s="3">
        <f t="shared" si="81"/>
        <v>8139.58</v>
      </c>
      <c r="K199" s="3">
        <f>IF($B$196=12,'payment summary to Trustee'!$AW199,('payment summary to Trustee'!$BD199-'CDE Intercept  '!$T199)/4)</f>
        <v>14216.932500000001</v>
      </c>
      <c r="L199" s="3">
        <f>IF($B$196=12,'payment summary to Trustee'!$AW199,('payment summary to Trustee'!$BD199-'CDE Intercept  '!$T199)/4)</f>
        <v>14216.932500000001</v>
      </c>
      <c r="M199" s="3">
        <f>IF($B$196=12,'payment summary to Trustee'!$AW199,('payment summary to Trustee'!$BD199-'CDE Intercept  '!$T199)/4)</f>
        <v>14216.932500000001</v>
      </c>
      <c r="N199" s="3">
        <v>0</v>
      </c>
      <c r="O199" s="118">
        <f>IF($B$196=12,'payment summary to Trustee'!$AW199,('payment summary to Trustee'!$BD199-'CDE Intercept  '!$T199)/4)</f>
        <v>14216.932500000001</v>
      </c>
      <c r="P199" s="3">
        <v>0</v>
      </c>
      <c r="Q199" s="3">
        <v>0</v>
      </c>
      <c r="R199" s="3">
        <f>SUM(F199:Q199)</f>
        <v>97565.62999999999</v>
      </c>
      <c r="T199" s="3">
        <f t="shared" si="80"/>
        <v>40697.9</v>
      </c>
      <c r="U199" s="94">
        <f>SUM(K199:Q199)</f>
        <v>56867.73</v>
      </c>
      <c r="V199" s="11">
        <f>SUM(T199:U199)-R199</f>
        <v>0</v>
      </c>
    </row>
    <row r="200" spans="1:22" ht="13.5" thickBot="1" x14ac:dyDescent="0.35">
      <c r="E200" s="13" t="s">
        <v>97</v>
      </c>
      <c r="F200" s="22">
        <f t="shared" ref="F200:R200" si="82">SUM(F197:F199)</f>
        <v>8389.58</v>
      </c>
      <c r="G200" s="22">
        <f t="shared" si="82"/>
        <v>8139.58</v>
      </c>
      <c r="H200" s="22">
        <f t="shared" si="82"/>
        <v>8139.58</v>
      </c>
      <c r="I200" s="22">
        <f t="shared" si="82"/>
        <v>8139.58</v>
      </c>
      <c r="J200" s="22">
        <f t="shared" si="82"/>
        <v>8139.58</v>
      </c>
      <c r="K200" s="22">
        <f t="shared" si="82"/>
        <v>14216.932500000001</v>
      </c>
      <c r="L200" s="22">
        <f t="shared" si="82"/>
        <v>14216.932500000001</v>
      </c>
      <c r="M200" s="22">
        <f t="shared" si="82"/>
        <v>14216.932500000001</v>
      </c>
      <c r="N200" s="22">
        <f t="shared" si="82"/>
        <v>0</v>
      </c>
      <c r="O200" s="119">
        <f t="shared" si="82"/>
        <v>14216.932500000001</v>
      </c>
      <c r="P200" s="22">
        <f t="shared" ref="P200" si="83">SUM(P197:P199)</f>
        <v>0</v>
      </c>
      <c r="Q200" s="22">
        <f t="shared" si="82"/>
        <v>0</v>
      </c>
      <c r="R200" s="22">
        <f t="shared" si="82"/>
        <v>97815.62999999999</v>
      </c>
      <c r="T200" s="39">
        <f>SUM(T197:T199)</f>
        <v>40947.9</v>
      </c>
      <c r="U200" s="78">
        <f>SUM(U197:U199)</f>
        <v>56867.73</v>
      </c>
      <c r="V200" s="11">
        <f>SUM(T200:U200)-R200</f>
        <v>0</v>
      </c>
    </row>
    <row r="201" spans="1:22" x14ac:dyDescent="0.3">
      <c r="E201" s="15"/>
      <c r="O201" s="118"/>
    </row>
    <row r="202" spans="1:22" ht="15.5" x14ac:dyDescent="0.35">
      <c r="B202">
        <v>9</v>
      </c>
      <c r="C202" s="1">
        <f>C196+1</f>
        <v>25</v>
      </c>
      <c r="D202" s="24" t="s">
        <v>14</v>
      </c>
      <c r="E202" s="25" t="s">
        <v>98</v>
      </c>
      <c r="O202" s="118"/>
    </row>
    <row r="203" spans="1:22" x14ac:dyDescent="0.3">
      <c r="B203">
        <v>9.1</v>
      </c>
      <c r="E203" s="8" t="s">
        <v>8</v>
      </c>
      <c r="F203" s="3">
        <v>1386.67</v>
      </c>
      <c r="G203" s="3">
        <v>1386.67</v>
      </c>
      <c r="H203" s="3">
        <v>1386.67</v>
      </c>
      <c r="I203" s="3">
        <v>1386.67</v>
      </c>
      <c r="J203" s="3">
        <v>1386.67</v>
      </c>
      <c r="K203" s="3">
        <f>IF($B$202=12,'payment summary to Trustee'!$AW203,('payment summary to Trustee'!$BD203-'CDE Intercept  '!$T203)/4)</f>
        <v>2392.0825</v>
      </c>
      <c r="L203" s="3">
        <f>IF($B$202=12,'payment summary to Trustee'!$AW203,('payment summary to Trustee'!$BD203-'CDE Intercept  '!$T203)/4)</f>
        <v>2392.0825</v>
      </c>
      <c r="M203" s="3">
        <f>IF($B$202=12,'payment summary to Trustee'!$AW203,('payment summary to Trustee'!$BD203-'CDE Intercept  '!$T203)/4)</f>
        <v>2392.0825</v>
      </c>
      <c r="N203" s="3">
        <v>0</v>
      </c>
      <c r="O203" s="118">
        <f>IF($B$202=12,'payment summary to Trustee'!$AW203,('payment summary to Trustee'!$BD203-'CDE Intercept  '!$T203)/4)</f>
        <v>2392.0825</v>
      </c>
      <c r="P203" s="3">
        <v>0</v>
      </c>
      <c r="Q203" s="3">
        <v>0</v>
      </c>
      <c r="R203" s="3">
        <f>SUM(F203:Q203)</f>
        <v>16501.68</v>
      </c>
      <c r="T203" s="3">
        <f>SUM(F203:J203)</f>
        <v>6933.35</v>
      </c>
      <c r="U203" s="93">
        <f>SUM(K203:Q203)</f>
        <v>9568.33</v>
      </c>
      <c r="V203" s="11">
        <f>SUM(T203:U203)-R203</f>
        <v>0</v>
      </c>
    </row>
    <row r="204" spans="1:22" x14ac:dyDescent="0.3">
      <c r="B204">
        <v>9.1999999999999993</v>
      </c>
      <c r="E204" s="8" t="s">
        <v>9</v>
      </c>
      <c r="F204" s="3">
        <v>250</v>
      </c>
      <c r="G204" s="3">
        <v>0</v>
      </c>
      <c r="H204" s="3">
        <v>0</v>
      </c>
      <c r="I204" s="3">
        <v>0</v>
      </c>
      <c r="J204" s="3">
        <v>0</v>
      </c>
      <c r="K204" s="3">
        <f>IF($B$202=12,'payment summary to Trustee'!$AW204,('payment summary to Trustee'!$BD204-'CDE Intercept  '!$T204)/4)</f>
        <v>0</v>
      </c>
      <c r="L204" s="3">
        <f>IF($B$202=12,'payment summary to Trustee'!$AW204,('payment summary to Trustee'!$BD204-'CDE Intercept  '!$T204)/4)</f>
        <v>0</v>
      </c>
      <c r="M204" s="3">
        <f>IF($B$202=12,'payment summary to Trustee'!$AW204,('payment summary to Trustee'!$BD204-'CDE Intercept  '!$T204)/4)</f>
        <v>0</v>
      </c>
      <c r="N204" s="3">
        <v>0</v>
      </c>
      <c r="O204" s="118">
        <f>IF($B$202=12,'payment summary to Trustee'!$AW204,('payment summary to Trustee'!$BD204-'CDE Intercept  '!$T204)/4)</f>
        <v>0</v>
      </c>
      <c r="P204" s="3">
        <v>0</v>
      </c>
      <c r="Q204" s="3">
        <v>0</v>
      </c>
      <c r="R204" s="3">
        <f>SUM(F204:Q204)</f>
        <v>250</v>
      </c>
      <c r="T204" s="3">
        <f t="shared" ref="T204:T205" si="84">SUM(F204:J204)</f>
        <v>250</v>
      </c>
      <c r="U204" s="93">
        <f>SUM(K204:Q204)</f>
        <v>0</v>
      </c>
      <c r="V204" s="11">
        <f>SUM(T204:U204)-R204</f>
        <v>0</v>
      </c>
    </row>
    <row r="205" spans="1:22" ht="13.5" thickBot="1" x14ac:dyDescent="0.35">
      <c r="A205" t="s">
        <v>99</v>
      </c>
      <c r="B205">
        <v>9.3000000000000007</v>
      </c>
      <c r="E205" s="8" t="s">
        <v>10</v>
      </c>
      <c r="F205" s="3">
        <f>36250+59825</f>
        <v>96075</v>
      </c>
      <c r="G205" s="3">
        <f t="shared" ref="G205:J205" si="85">36250+59825</f>
        <v>96075</v>
      </c>
      <c r="H205" s="3">
        <f t="shared" si="85"/>
        <v>96075</v>
      </c>
      <c r="I205" s="3">
        <f t="shared" si="85"/>
        <v>96075</v>
      </c>
      <c r="J205" s="3">
        <f t="shared" si="85"/>
        <v>96075</v>
      </c>
      <c r="K205" s="3">
        <f>IF($B$202=12,'payment summary to Trustee'!$AW205,('payment summary to Trustee'!$BD205-'CDE Intercept  '!$T205)/4)</f>
        <v>168131.25</v>
      </c>
      <c r="L205" s="3">
        <f>IF($B$202=12,'payment summary to Trustee'!$AW205,('payment summary to Trustee'!$BD205-'CDE Intercept  '!$T205)/4)</f>
        <v>168131.25</v>
      </c>
      <c r="M205" s="3">
        <f>IF($B$202=12,'payment summary to Trustee'!$AW205,('payment summary to Trustee'!$BD205-'CDE Intercept  '!$T205)/4)</f>
        <v>168131.25</v>
      </c>
      <c r="N205" s="3">
        <v>0</v>
      </c>
      <c r="O205" s="118">
        <f>IF($B$202=12,'payment summary to Trustee'!$AW205,('payment summary to Trustee'!$BD205-'CDE Intercept  '!$T205)/4)</f>
        <v>168131.25</v>
      </c>
      <c r="P205" s="3">
        <v>0</v>
      </c>
      <c r="Q205" s="3">
        <v>0</v>
      </c>
      <c r="R205" s="3">
        <f>SUM(F205:Q205)</f>
        <v>1152900</v>
      </c>
      <c r="T205" s="3">
        <f t="shared" si="84"/>
        <v>480375</v>
      </c>
      <c r="U205" s="94">
        <f>SUM(K205:Q205)</f>
        <v>672525</v>
      </c>
      <c r="V205" s="11">
        <f>SUM(T205:U205)-R205</f>
        <v>0</v>
      </c>
    </row>
    <row r="206" spans="1:22" ht="13.5" thickBot="1" x14ac:dyDescent="0.35">
      <c r="E206" s="13" t="s">
        <v>100</v>
      </c>
      <c r="F206" s="22">
        <f t="shared" ref="F206:R206" si="86">SUM(F203:F205)</f>
        <v>97711.67</v>
      </c>
      <c r="G206" s="22">
        <f t="shared" si="86"/>
        <v>97461.67</v>
      </c>
      <c r="H206" s="22">
        <f t="shared" si="86"/>
        <v>97461.67</v>
      </c>
      <c r="I206" s="22">
        <f t="shared" si="86"/>
        <v>97461.67</v>
      </c>
      <c r="J206" s="22">
        <f t="shared" si="86"/>
        <v>97461.67</v>
      </c>
      <c r="K206" s="22">
        <f t="shared" si="86"/>
        <v>170523.33249999999</v>
      </c>
      <c r="L206" s="22">
        <f t="shared" si="86"/>
        <v>170523.33249999999</v>
      </c>
      <c r="M206" s="22">
        <f t="shared" si="86"/>
        <v>170523.33249999999</v>
      </c>
      <c r="N206" s="22">
        <f t="shared" si="86"/>
        <v>0</v>
      </c>
      <c r="O206" s="119">
        <f t="shared" si="86"/>
        <v>170523.33249999999</v>
      </c>
      <c r="P206" s="22">
        <f t="shared" ref="P206" si="87">SUM(P203:P205)</f>
        <v>0</v>
      </c>
      <c r="Q206" s="22">
        <f t="shared" si="86"/>
        <v>0</v>
      </c>
      <c r="R206" s="22">
        <f t="shared" si="86"/>
        <v>1169651.68</v>
      </c>
      <c r="T206" s="39">
        <f>SUM(T203:T205)</f>
        <v>487558.35</v>
      </c>
      <c r="U206" s="78">
        <f>SUM(U203:U205)</f>
        <v>682093.33</v>
      </c>
      <c r="V206" s="11">
        <f>SUM(T206:U206)-R206</f>
        <v>0</v>
      </c>
    </row>
    <row r="207" spans="1:22" x14ac:dyDescent="0.3">
      <c r="E207" s="15"/>
      <c r="O207" s="118"/>
    </row>
    <row r="208" spans="1:22" ht="15.5" x14ac:dyDescent="0.35">
      <c r="D208" s="30" t="s">
        <v>6</v>
      </c>
      <c r="E208" s="10" t="s">
        <v>101</v>
      </c>
      <c r="O208" s="118"/>
    </row>
    <row r="209" spans="1:22" x14ac:dyDescent="0.3">
      <c r="E209" s="8" t="s">
        <v>8</v>
      </c>
      <c r="O209" s="118"/>
    </row>
    <row r="210" spans="1:22" x14ac:dyDescent="0.3">
      <c r="E210" s="8" t="s">
        <v>9</v>
      </c>
      <c r="O210" s="118"/>
    </row>
    <row r="211" spans="1:22" ht="13.5" thickBot="1" x14ac:dyDescent="0.35">
      <c r="A211" t="s">
        <v>102</v>
      </c>
      <c r="E211" s="8" t="s">
        <v>10</v>
      </c>
      <c r="O211" s="118"/>
    </row>
    <row r="212" spans="1:22" ht="13.5" thickBot="1" x14ac:dyDescent="0.35">
      <c r="E212" s="13" t="s">
        <v>103</v>
      </c>
      <c r="O212" s="118"/>
    </row>
    <row r="213" spans="1:22" x14ac:dyDescent="0.3">
      <c r="E213" s="15"/>
      <c r="O213" s="118"/>
    </row>
    <row r="214" spans="1:22" ht="15.5" x14ac:dyDescent="0.35">
      <c r="B214">
        <v>9</v>
      </c>
      <c r="C214" s="1">
        <f>C202+1</f>
        <v>26</v>
      </c>
      <c r="D214" s="24" t="s">
        <v>14</v>
      </c>
      <c r="E214" s="25" t="s">
        <v>104</v>
      </c>
      <c r="O214" s="118"/>
    </row>
    <row r="215" spans="1:22" x14ac:dyDescent="0.3">
      <c r="B215">
        <v>9.1</v>
      </c>
      <c r="E215" s="8" t="s">
        <v>8</v>
      </c>
      <c r="F215" s="60">
        <v>1757.5</v>
      </c>
      <c r="G215" s="60">
        <v>1757.5</v>
      </c>
      <c r="H215" s="3">
        <f>1805.42+47.92+47.92</f>
        <v>1901.2600000000002</v>
      </c>
      <c r="I215" s="65">
        <v>1805.42</v>
      </c>
      <c r="J215" s="65">
        <v>1805.42</v>
      </c>
      <c r="K215" s="3">
        <f>IF($B$214=12,'payment summary to Trustee'!$AW215,('payment summary to Trustee'!$BD215-'CDE Intercept  '!$T215)/4)</f>
        <v>3135.5250000000001</v>
      </c>
      <c r="L215" s="3">
        <f>IF($B$214=12,'payment summary to Trustee'!$AW215,('payment summary to Trustee'!$BD215-'CDE Intercept  '!$T215)/4)</f>
        <v>3135.5250000000001</v>
      </c>
      <c r="M215" s="3">
        <f>IF($B$214=12,'payment summary to Trustee'!$AW215,('payment summary to Trustee'!$BD215-'CDE Intercept  '!$T215)/4)</f>
        <v>3135.5250000000001</v>
      </c>
      <c r="N215" s="3">
        <v>0</v>
      </c>
      <c r="O215" s="118">
        <f>IF($B$214=12,'payment summary to Trustee'!$AW215,('payment summary to Trustee'!$BD215-'CDE Intercept  '!$T215)/4)</f>
        <v>3135.5250000000001</v>
      </c>
      <c r="P215" s="3">
        <v>0</v>
      </c>
      <c r="Q215" s="65">
        <v>0</v>
      </c>
      <c r="R215" s="3">
        <f>SUM(F215:Q215)</f>
        <v>21569.200000000001</v>
      </c>
      <c r="T215" s="3">
        <f>SUM(F215:J215)</f>
        <v>9027.1</v>
      </c>
      <c r="U215" s="93">
        <f>SUM(K215:Q215)</f>
        <v>12542.1</v>
      </c>
      <c r="V215" s="11">
        <f>SUM(T215:U215)-R215</f>
        <v>0</v>
      </c>
    </row>
    <row r="216" spans="1:22" x14ac:dyDescent="0.3">
      <c r="B216">
        <v>9.1999999999999993</v>
      </c>
      <c r="E216" s="8" t="s">
        <v>9</v>
      </c>
      <c r="F216" s="3">
        <v>250</v>
      </c>
      <c r="G216" s="3">
        <v>0</v>
      </c>
      <c r="H216" s="3">
        <v>0</v>
      </c>
      <c r="I216" s="65">
        <v>0</v>
      </c>
      <c r="J216" s="65">
        <v>0</v>
      </c>
      <c r="K216" s="3">
        <f>IF($B$214=12,'payment summary to Trustee'!$AW216,('payment summary to Trustee'!$BD216-'CDE Intercept  '!$T216)/4)</f>
        <v>0</v>
      </c>
      <c r="L216" s="3">
        <f>IF($B$214=12,'payment summary to Trustee'!$AW216,('payment summary to Trustee'!$BD216-'CDE Intercept  '!$T216)/4)</f>
        <v>0</v>
      </c>
      <c r="M216" s="3">
        <f>IF($B$214=12,'payment summary to Trustee'!$AW216,('payment summary to Trustee'!$BD216-'CDE Intercept  '!$T216)/4)</f>
        <v>0</v>
      </c>
      <c r="N216" s="3">
        <v>0</v>
      </c>
      <c r="O216" s="118">
        <f>IF($B$214=12,'payment summary to Trustee'!$AW216,('payment summary to Trustee'!$BD216-'CDE Intercept  '!$T216)/4)</f>
        <v>0</v>
      </c>
      <c r="P216" s="3">
        <v>0</v>
      </c>
      <c r="Q216" s="65">
        <v>0</v>
      </c>
      <c r="R216" s="3">
        <f>SUM(F216:Q216)</f>
        <v>250</v>
      </c>
      <c r="T216" s="3">
        <f t="shared" ref="T216:T217" si="88">SUM(F216:J216)</f>
        <v>250</v>
      </c>
      <c r="U216" s="93">
        <f>SUM(K216:Q216)</f>
        <v>0</v>
      </c>
      <c r="V216" s="11">
        <f>SUM(T216:U216)-R216</f>
        <v>0</v>
      </c>
    </row>
    <row r="217" spans="1:22" ht="13.5" thickBot="1" x14ac:dyDescent="0.35">
      <c r="A217" t="s">
        <v>105</v>
      </c>
      <c r="B217">
        <v>9.3000000000000007</v>
      </c>
      <c r="E217" s="8" t="s">
        <v>10</v>
      </c>
      <c r="F217" s="60">
        <f>50000+68379.17</f>
        <v>118379.17</v>
      </c>
      <c r="G217" s="60">
        <f>50000+68379.17</f>
        <v>118379.17</v>
      </c>
      <c r="H217" s="3">
        <f>47916.67+70775+312.5+312.5</f>
        <v>119316.67</v>
      </c>
      <c r="I217" s="65">
        <f t="shared" ref="I217:J217" si="89">47916.67+70775</f>
        <v>118691.67</v>
      </c>
      <c r="J217" s="65">
        <f t="shared" si="89"/>
        <v>118691.67</v>
      </c>
      <c r="K217" s="3">
        <f>IF($B$214=12,'payment summary to Trustee'!$AW217,('payment summary to Trustee'!$BD217-'CDE Intercept  '!$T217)/4)</f>
        <v>207632.28750000001</v>
      </c>
      <c r="L217" s="3">
        <f>IF($B$214=12,'payment summary to Trustee'!$AW217,('payment summary to Trustee'!$BD217-'CDE Intercept  '!$T217)/4)</f>
        <v>207632.28750000001</v>
      </c>
      <c r="M217" s="3">
        <f>IF($B$214=12,'payment summary to Trustee'!$AW217,('payment summary to Trustee'!$BD217-'CDE Intercept  '!$T217)/4)</f>
        <v>207632.28750000001</v>
      </c>
      <c r="N217" s="3">
        <v>0</v>
      </c>
      <c r="O217" s="118">
        <f>IF($B$214=12,'payment summary to Trustee'!$AW217,('payment summary to Trustee'!$BD217-'CDE Intercept  '!$T217)/4)</f>
        <v>207632.28750000001</v>
      </c>
      <c r="P217" s="3">
        <v>0</v>
      </c>
      <c r="Q217" s="65">
        <v>0</v>
      </c>
      <c r="R217" s="3">
        <f>SUM(F217:Q217)</f>
        <v>1423987.5</v>
      </c>
      <c r="T217" s="3">
        <f t="shared" si="88"/>
        <v>593458.35</v>
      </c>
      <c r="U217" s="94">
        <f>SUM(K217:Q217)</f>
        <v>830529.15</v>
      </c>
      <c r="V217" s="11">
        <f>SUM(T217:U217)-R217</f>
        <v>0</v>
      </c>
    </row>
    <row r="218" spans="1:22" ht="13.5" thickBot="1" x14ac:dyDescent="0.35">
      <c r="E218" s="13" t="s">
        <v>106</v>
      </c>
      <c r="F218" s="22">
        <f t="shared" ref="F218:R218" si="90">SUM(F215:F217)</f>
        <v>120386.67</v>
      </c>
      <c r="G218" s="22">
        <f t="shared" si="90"/>
        <v>120136.67</v>
      </c>
      <c r="H218" s="22">
        <f t="shared" si="90"/>
        <v>121217.93</v>
      </c>
      <c r="I218" s="22">
        <f t="shared" si="90"/>
        <v>120497.09</v>
      </c>
      <c r="J218" s="22">
        <f t="shared" si="90"/>
        <v>120497.09</v>
      </c>
      <c r="K218" s="22">
        <f t="shared" si="90"/>
        <v>210767.8125</v>
      </c>
      <c r="L218" s="22">
        <f t="shared" si="90"/>
        <v>210767.8125</v>
      </c>
      <c r="M218" s="22">
        <f t="shared" si="90"/>
        <v>210767.8125</v>
      </c>
      <c r="N218" s="22">
        <f t="shared" si="90"/>
        <v>0</v>
      </c>
      <c r="O218" s="119">
        <f t="shared" si="90"/>
        <v>210767.8125</v>
      </c>
      <c r="P218" s="22">
        <f t="shared" ref="P218" si="91">SUM(P215:P217)</f>
        <v>0</v>
      </c>
      <c r="Q218" s="22">
        <f t="shared" si="90"/>
        <v>0</v>
      </c>
      <c r="R218" s="22">
        <f t="shared" si="90"/>
        <v>1445806.7</v>
      </c>
      <c r="T218" s="39">
        <f>SUM(T215:T217)</f>
        <v>602735.44999999995</v>
      </c>
      <c r="U218" s="78">
        <f>SUM(U215:U217)</f>
        <v>843071.25</v>
      </c>
      <c r="V218" s="11">
        <f>SUM(T218:U218)-R218</f>
        <v>0</v>
      </c>
    </row>
    <row r="219" spans="1:22" x14ac:dyDescent="0.3">
      <c r="E219" s="15"/>
      <c r="O219" s="118"/>
    </row>
    <row r="220" spans="1:22" ht="15.5" x14ac:dyDescent="0.35">
      <c r="B220">
        <v>9</v>
      </c>
      <c r="C220" s="1">
        <f>C214+1</f>
        <v>27</v>
      </c>
      <c r="D220" s="24" t="s">
        <v>14</v>
      </c>
      <c r="E220" s="25" t="s">
        <v>107</v>
      </c>
      <c r="O220" s="118"/>
    </row>
    <row r="221" spans="1:22" x14ac:dyDescent="0.3">
      <c r="B221">
        <v>9.1</v>
      </c>
      <c r="E221" s="8" t="s">
        <v>8</v>
      </c>
      <c r="F221" s="3">
        <v>374.17</v>
      </c>
      <c r="G221" s="3">
        <v>374.17</v>
      </c>
      <c r="H221" s="3">
        <v>374.17</v>
      </c>
      <c r="I221" s="3">
        <v>374.17</v>
      </c>
      <c r="J221" s="3">
        <v>374.17</v>
      </c>
      <c r="K221" s="3">
        <f>IF($B$220=12,'payment summary to Trustee'!$AW221,('payment summary to Trustee'!$BD221-'CDE Intercept  '!$T221)/4)</f>
        <v>643.75250000000005</v>
      </c>
      <c r="L221" s="3">
        <f>IF($B$220=12,'payment summary to Trustee'!$AW221,('payment summary to Trustee'!$BD221-'CDE Intercept  '!$T221)/4)</f>
        <v>643.75250000000005</v>
      </c>
      <c r="M221" s="3">
        <f>IF($B$220=12,'payment summary to Trustee'!$AW221,('payment summary to Trustee'!$BD221-'CDE Intercept  '!$T221)/4)</f>
        <v>643.75250000000005</v>
      </c>
      <c r="N221" s="3">
        <v>0</v>
      </c>
      <c r="O221" s="118">
        <f>IF($B$220=12,'payment summary to Trustee'!$AW221,('payment summary to Trustee'!$BD221-'CDE Intercept  '!$T221)/4)</f>
        <v>643.75250000000005</v>
      </c>
      <c r="P221" s="3">
        <v>0</v>
      </c>
      <c r="Q221" s="3">
        <v>0</v>
      </c>
      <c r="R221" s="3">
        <f>SUM(F221:Q221)</f>
        <v>4445.8600000000006</v>
      </c>
      <c r="T221" s="3">
        <f>SUM(F221:J221)</f>
        <v>1870.8500000000001</v>
      </c>
      <c r="U221" s="93">
        <f>SUM(K221:Q221)</f>
        <v>2575.0100000000002</v>
      </c>
      <c r="V221" s="11">
        <f>SUM(T221:U221)-R221</f>
        <v>0</v>
      </c>
    </row>
    <row r="222" spans="1:22" x14ac:dyDescent="0.3">
      <c r="B222">
        <v>9.1999999999999993</v>
      </c>
      <c r="E222" s="8" t="s">
        <v>9</v>
      </c>
      <c r="F222" s="3">
        <v>250</v>
      </c>
      <c r="G222" s="3">
        <v>0</v>
      </c>
      <c r="H222" s="3">
        <v>0</v>
      </c>
      <c r="I222" s="3">
        <v>0</v>
      </c>
      <c r="J222" s="3">
        <v>0</v>
      </c>
      <c r="K222" s="3">
        <f>IF($B$220=12,'payment summary to Trustee'!$AW222,('payment summary to Trustee'!$BD222-'CDE Intercept  '!$T222)/4)</f>
        <v>0</v>
      </c>
      <c r="L222" s="3">
        <f>IF($B$220=12,'payment summary to Trustee'!$AW222,('payment summary to Trustee'!$BD222-'CDE Intercept  '!$T222)/4)</f>
        <v>0</v>
      </c>
      <c r="M222" s="3">
        <f>IF($B$220=12,'payment summary to Trustee'!$AW222,('payment summary to Trustee'!$BD222-'CDE Intercept  '!$T222)/4)</f>
        <v>0</v>
      </c>
      <c r="N222" s="3">
        <v>0</v>
      </c>
      <c r="O222" s="118">
        <f>IF($B$220=12,'payment summary to Trustee'!$AW222,('payment summary to Trustee'!$BD222-'CDE Intercept  '!$T222)/4)</f>
        <v>0</v>
      </c>
      <c r="P222" s="3">
        <v>0</v>
      </c>
      <c r="Q222" s="3">
        <v>0</v>
      </c>
      <c r="R222" s="3">
        <f>SUM(F222:Q222)</f>
        <v>250</v>
      </c>
      <c r="T222" s="3">
        <f t="shared" ref="T222:T223" si="92">SUM(F222:J222)</f>
        <v>250</v>
      </c>
      <c r="U222" s="93">
        <f>SUM(K222:Q222)</f>
        <v>0</v>
      </c>
      <c r="V222" s="11">
        <f>SUM(T222:U222)-R222</f>
        <v>0</v>
      </c>
    </row>
    <row r="223" spans="1:22" ht="13.5" thickBot="1" x14ac:dyDescent="0.35">
      <c r="A223" t="s">
        <v>108</v>
      </c>
      <c r="B223">
        <v>9.3000000000000007</v>
      </c>
      <c r="E223" s="8" t="s">
        <v>10</v>
      </c>
      <c r="F223" s="3">
        <f>22083.33+14820.83</f>
        <v>36904.160000000003</v>
      </c>
      <c r="G223" s="3">
        <f>22083.33+14820.83</f>
        <v>36904.160000000003</v>
      </c>
      <c r="H223" s="3">
        <f>22083.33+14820.83</f>
        <v>36904.160000000003</v>
      </c>
      <c r="I223" s="3">
        <f>22083.33+14820.83</f>
        <v>36904.160000000003</v>
      </c>
      <c r="J223" s="3">
        <f>22083.37+14820.85</f>
        <v>36904.22</v>
      </c>
      <c r="K223" s="3">
        <f>IF($B$220=12,'payment summary to Trustee'!$AW223,('payment summary to Trustee'!$BD223-'CDE Intercept  '!$T223)/4)</f>
        <v>64494.797499999979</v>
      </c>
      <c r="L223" s="3">
        <f>IF($B$220=12,'payment summary to Trustee'!$AW223,('payment summary to Trustee'!$BD223-'CDE Intercept  '!$T223)/4)</f>
        <v>64494.797499999979</v>
      </c>
      <c r="M223" s="3">
        <f>IF($B$220=12,'payment summary to Trustee'!$AW223,('payment summary to Trustee'!$BD223-'CDE Intercept  '!$T223)/4)</f>
        <v>64494.797499999979</v>
      </c>
      <c r="N223" s="3">
        <v>0</v>
      </c>
      <c r="O223" s="118">
        <f>IF($B$220=12,'payment summary to Trustee'!$AW223,('payment summary to Trustee'!$BD223-'CDE Intercept  '!$T223)/4)</f>
        <v>64494.797499999979</v>
      </c>
      <c r="P223" s="3">
        <v>0</v>
      </c>
      <c r="Q223" s="3">
        <v>0</v>
      </c>
      <c r="R223" s="3">
        <f>SUM(F223:Q223)</f>
        <v>442500.04999999993</v>
      </c>
      <c r="T223" s="3">
        <f t="shared" si="92"/>
        <v>184520.86000000002</v>
      </c>
      <c r="U223" s="94">
        <f>SUM(K223:Q223)</f>
        <v>257979.18999999992</v>
      </c>
      <c r="V223" s="11">
        <f>SUM(T223:U223)-R223</f>
        <v>0</v>
      </c>
    </row>
    <row r="224" spans="1:22" ht="13.5" thickBot="1" x14ac:dyDescent="0.35">
      <c r="E224" s="13" t="s">
        <v>109</v>
      </c>
      <c r="F224" s="22">
        <f t="shared" ref="F224:R224" si="93">SUM(F221:F223)</f>
        <v>37528.33</v>
      </c>
      <c r="G224" s="22">
        <f t="shared" si="93"/>
        <v>37278.33</v>
      </c>
      <c r="H224" s="22">
        <f t="shared" si="93"/>
        <v>37278.33</v>
      </c>
      <c r="I224" s="22">
        <f t="shared" si="93"/>
        <v>37278.33</v>
      </c>
      <c r="J224" s="22">
        <f t="shared" si="93"/>
        <v>37278.39</v>
      </c>
      <c r="K224" s="22">
        <f t="shared" si="93"/>
        <v>65138.549999999981</v>
      </c>
      <c r="L224" s="22">
        <f t="shared" si="93"/>
        <v>65138.549999999981</v>
      </c>
      <c r="M224" s="22">
        <f t="shared" si="93"/>
        <v>65138.549999999981</v>
      </c>
      <c r="N224" s="22">
        <f t="shared" si="93"/>
        <v>0</v>
      </c>
      <c r="O224" s="119">
        <f t="shared" si="93"/>
        <v>65138.549999999981</v>
      </c>
      <c r="P224" s="22">
        <f t="shared" ref="P224" si="94">SUM(P221:P223)</f>
        <v>0</v>
      </c>
      <c r="Q224" s="22">
        <f t="shared" si="93"/>
        <v>0</v>
      </c>
      <c r="R224" s="22">
        <f t="shared" si="93"/>
        <v>447195.90999999992</v>
      </c>
      <c r="T224" s="39">
        <f>SUM(T221:T223)</f>
        <v>186641.71000000002</v>
      </c>
      <c r="U224" s="78">
        <f>SUM(U221:U223)</f>
        <v>260554.19999999992</v>
      </c>
      <c r="V224" s="11">
        <f>SUM(T224:U224)-R224</f>
        <v>0</v>
      </c>
    </row>
    <row r="225" spans="1:22" x14ac:dyDescent="0.3">
      <c r="E225" s="15"/>
      <c r="O225" s="118"/>
    </row>
    <row r="226" spans="1:22" ht="15.5" x14ac:dyDescent="0.35">
      <c r="B226">
        <v>9</v>
      </c>
      <c r="C226" s="1">
        <f>C220+1</f>
        <v>28</v>
      </c>
      <c r="D226" s="24" t="s">
        <v>14</v>
      </c>
      <c r="E226" s="25" t="s">
        <v>110</v>
      </c>
      <c r="O226" s="118"/>
    </row>
    <row r="227" spans="1:22" x14ac:dyDescent="0.3">
      <c r="B227">
        <v>9.1</v>
      </c>
      <c r="E227" s="8" t="s">
        <v>8</v>
      </c>
      <c r="F227" s="3">
        <v>958.33</v>
      </c>
      <c r="G227" s="3">
        <v>958.33</v>
      </c>
      <c r="H227" s="3">
        <v>958.33</v>
      </c>
      <c r="I227" s="3">
        <v>958.33</v>
      </c>
      <c r="J227" s="3">
        <v>958.33</v>
      </c>
      <c r="K227" s="3">
        <f>IF($B$226=12,'payment summary to Trustee'!$AW227,('payment summary to Trustee'!$BD227-'CDE Intercept  '!$T227)/4)</f>
        <v>1670.9325000000001</v>
      </c>
      <c r="L227" s="3">
        <f>IF($B$226=12,'payment summary to Trustee'!$AW227,('payment summary to Trustee'!$BD227-'CDE Intercept  '!$T227)/4)</f>
        <v>1670.9325000000001</v>
      </c>
      <c r="M227" s="3">
        <f>IF($B$226=12,'payment summary to Trustee'!$AW227,('payment summary to Trustee'!$BD227-'CDE Intercept  '!$T227)/4)</f>
        <v>1670.9325000000001</v>
      </c>
      <c r="N227" s="3">
        <v>0</v>
      </c>
      <c r="O227" s="118">
        <f>IF($B$226=12,'payment summary to Trustee'!$AW227,('payment summary to Trustee'!$BD227-'CDE Intercept  '!$T227)/4)</f>
        <v>1670.9325000000001</v>
      </c>
      <c r="P227" s="3">
        <v>0</v>
      </c>
      <c r="Q227" s="3">
        <v>0</v>
      </c>
      <c r="R227" s="3">
        <f>SUM(F227:Q227)</f>
        <v>11475.380000000001</v>
      </c>
      <c r="T227" s="3">
        <f>SUM(F227:J227)</f>
        <v>4791.6500000000005</v>
      </c>
      <c r="U227" s="93">
        <f>SUM(K227:Q227)</f>
        <v>6683.7300000000005</v>
      </c>
      <c r="V227" s="11">
        <f>SUM(T227:U227)-R227</f>
        <v>0</v>
      </c>
    </row>
    <row r="228" spans="1:22" x14ac:dyDescent="0.3">
      <c r="B228">
        <v>9.1999999999999993</v>
      </c>
      <c r="E228" s="8" t="s">
        <v>9</v>
      </c>
      <c r="F228" s="3">
        <v>250</v>
      </c>
      <c r="G228" s="3">
        <v>0</v>
      </c>
      <c r="H228" s="3">
        <v>0</v>
      </c>
      <c r="I228" s="3">
        <v>0</v>
      </c>
      <c r="J228" s="3">
        <v>0</v>
      </c>
      <c r="K228" s="3">
        <f>IF($B$226=12,'payment summary to Trustee'!$AW228,('payment summary to Trustee'!$BD228-'CDE Intercept  '!$T228)/4)</f>
        <v>0</v>
      </c>
      <c r="L228" s="3">
        <f>IF($B$226=12,'payment summary to Trustee'!$AW228,('payment summary to Trustee'!$BD228-'CDE Intercept  '!$T228)/4)</f>
        <v>0</v>
      </c>
      <c r="M228" s="3">
        <f>IF($B$226=12,'payment summary to Trustee'!$AW228,('payment summary to Trustee'!$BD228-'CDE Intercept  '!$T228)/4)</f>
        <v>0</v>
      </c>
      <c r="N228" s="3">
        <v>0</v>
      </c>
      <c r="O228" s="118">
        <f>IF($B$226=12,'payment summary to Trustee'!$AW228,('payment summary to Trustee'!$BD228-'CDE Intercept  '!$T228)/4)</f>
        <v>0</v>
      </c>
      <c r="P228" s="3">
        <v>0</v>
      </c>
      <c r="Q228" s="3">
        <v>0</v>
      </c>
      <c r="R228" s="3">
        <f>SUM(F228:Q228)</f>
        <v>250</v>
      </c>
      <c r="T228" s="3">
        <f t="shared" ref="T228:T229" si="95">SUM(F228:J228)</f>
        <v>250</v>
      </c>
      <c r="U228" s="93">
        <f>SUM(K228:Q228)</f>
        <v>0</v>
      </c>
      <c r="V228" s="11">
        <f>SUM(T228:U228)-R228</f>
        <v>0</v>
      </c>
    </row>
    <row r="229" spans="1:22" ht="13.5" thickBot="1" x14ac:dyDescent="0.35">
      <c r="A229" t="s">
        <v>111</v>
      </c>
      <c r="B229">
        <v>9.3000000000000007</v>
      </c>
      <c r="E229" s="8" t="s">
        <v>10</v>
      </c>
      <c r="F229" s="3">
        <f>24583.37+39823.95</f>
        <v>64407.319999999992</v>
      </c>
      <c r="G229" s="3">
        <f>25833.33+38840.63</f>
        <v>64673.96</v>
      </c>
      <c r="H229" s="3">
        <f>25833.33+38840.63</f>
        <v>64673.96</v>
      </c>
      <c r="I229" s="3">
        <f>25833.33+38840.63</f>
        <v>64673.96</v>
      </c>
      <c r="J229" s="3">
        <f>25833.33+38840.63</f>
        <v>64673.96</v>
      </c>
      <c r="K229" s="3">
        <f>IF($B$226=12,'payment summary to Trustee'!$AW229,('payment summary to Trustee'!$BD229-'CDE Intercept  '!$T229)/4)</f>
        <v>113179.42249999997</v>
      </c>
      <c r="L229" s="3">
        <f>IF($B$226=12,'payment summary to Trustee'!$AW229,('payment summary to Trustee'!$BD229-'CDE Intercept  '!$T229)/4)</f>
        <v>113179.42249999997</v>
      </c>
      <c r="M229" s="3">
        <f>IF($B$226=12,'payment summary to Trustee'!$AW229,('payment summary to Trustee'!$BD229-'CDE Intercept  '!$T229)/4)</f>
        <v>113179.42249999997</v>
      </c>
      <c r="N229" s="3">
        <v>0</v>
      </c>
      <c r="O229" s="118">
        <f>IF($B$226=12,'payment summary to Trustee'!$AW229,('payment summary to Trustee'!$BD229-'CDE Intercept  '!$T229)/4)</f>
        <v>113179.42249999997</v>
      </c>
      <c r="P229" s="3">
        <v>0</v>
      </c>
      <c r="Q229" s="3">
        <v>0</v>
      </c>
      <c r="R229" s="3">
        <f>SUM(F229:Q229)</f>
        <v>775820.84999999986</v>
      </c>
      <c r="T229" s="3">
        <f t="shared" si="95"/>
        <v>323103.15999999997</v>
      </c>
      <c r="U229" s="94">
        <f>SUM(K229:Q229)</f>
        <v>452717.68999999989</v>
      </c>
      <c r="V229" s="11">
        <f>SUM(T229:U229)-R229</f>
        <v>0</v>
      </c>
    </row>
    <row r="230" spans="1:22" ht="13.5" thickBot="1" x14ac:dyDescent="0.35">
      <c r="E230" s="13" t="s">
        <v>112</v>
      </c>
      <c r="F230" s="22">
        <f t="shared" ref="F230:R230" si="96">SUM(F227:F229)</f>
        <v>65615.649999999994</v>
      </c>
      <c r="G230" s="22">
        <f t="shared" si="96"/>
        <v>65632.289999999994</v>
      </c>
      <c r="H230" s="22">
        <f t="shared" si="96"/>
        <v>65632.289999999994</v>
      </c>
      <c r="I230" s="22">
        <f t="shared" si="96"/>
        <v>65632.289999999994</v>
      </c>
      <c r="J230" s="22">
        <f t="shared" si="96"/>
        <v>65632.289999999994</v>
      </c>
      <c r="K230" s="22">
        <f t="shared" si="96"/>
        <v>114850.35499999997</v>
      </c>
      <c r="L230" s="22">
        <f t="shared" si="96"/>
        <v>114850.35499999997</v>
      </c>
      <c r="M230" s="22">
        <f t="shared" si="96"/>
        <v>114850.35499999997</v>
      </c>
      <c r="N230" s="22">
        <f t="shared" si="96"/>
        <v>0</v>
      </c>
      <c r="O230" s="119">
        <f t="shared" si="96"/>
        <v>114850.35499999997</v>
      </c>
      <c r="P230" s="22">
        <f t="shared" ref="P230" si="97">SUM(P227:P229)</f>
        <v>0</v>
      </c>
      <c r="Q230" s="22">
        <f t="shared" si="96"/>
        <v>0</v>
      </c>
      <c r="R230" s="22">
        <f t="shared" si="96"/>
        <v>787546.22999999986</v>
      </c>
      <c r="T230" s="39">
        <f>SUM(T227:T229)</f>
        <v>328144.81</v>
      </c>
      <c r="U230" s="78">
        <f>SUM(U227:U229)</f>
        <v>459401.41999999987</v>
      </c>
      <c r="V230" s="11">
        <f>SUM(T230:U230)-R230</f>
        <v>0</v>
      </c>
    </row>
    <row r="231" spans="1:22" x14ac:dyDescent="0.3">
      <c r="E231" s="15"/>
      <c r="O231" s="118"/>
    </row>
    <row r="232" spans="1:22" ht="15.5" x14ac:dyDescent="0.35">
      <c r="B232">
        <v>9</v>
      </c>
      <c r="C232" s="1">
        <f>C226+1</f>
        <v>29</v>
      </c>
      <c r="D232" s="24" t="s">
        <v>14</v>
      </c>
      <c r="E232" s="25" t="s">
        <v>113</v>
      </c>
      <c r="O232" s="118"/>
    </row>
    <row r="233" spans="1:22" x14ac:dyDescent="0.3">
      <c r="B233">
        <v>9.1</v>
      </c>
      <c r="E233" s="8" t="s">
        <v>8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f>IF($B$232=12,'payment summary to Trustee'!$AW233,('payment summary to Trustee'!$BD233-'CDE Intercept  '!$T233)/4)</f>
        <v>0</v>
      </c>
      <c r="L233" s="3">
        <f>IF($B$232=12,'payment summary to Trustee'!$AW233,('payment summary to Trustee'!$BD233-'CDE Intercept  '!$T233)/4)</f>
        <v>0</v>
      </c>
      <c r="M233" s="3">
        <f>IF($B$232=12,'payment summary to Trustee'!$AW233,('payment summary to Trustee'!$BD233-'CDE Intercept  '!$T233)/4)</f>
        <v>0</v>
      </c>
      <c r="N233" s="3">
        <v>0</v>
      </c>
      <c r="O233" s="118">
        <f>IF($B$232=12,'payment summary to Trustee'!$AW233,('payment summary to Trustee'!$BD233-'CDE Intercept  '!$T233)/4)</f>
        <v>0</v>
      </c>
      <c r="P233" s="3">
        <v>0</v>
      </c>
      <c r="Q233" s="3">
        <v>0</v>
      </c>
      <c r="R233" s="3">
        <f>SUM(F233:Q233)</f>
        <v>0</v>
      </c>
      <c r="T233" s="3">
        <f>SUM(F233:J233)</f>
        <v>0</v>
      </c>
      <c r="U233" s="93">
        <f>SUM(K233:Q233)</f>
        <v>0</v>
      </c>
      <c r="V233" s="11">
        <f>SUM(T233:U233)-R233</f>
        <v>0</v>
      </c>
    </row>
    <row r="234" spans="1:22" x14ac:dyDescent="0.3">
      <c r="B234">
        <v>9.1999999999999993</v>
      </c>
      <c r="E234" s="8" t="s">
        <v>9</v>
      </c>
      <c r="F234" s="3">
        <v>250</v>
      </c>
      <c r="G234" s="3">
        <v>0</v>
      </c>
      <c r="H234" s="3">
        <v>0</v>
      </c>
      <c r="I234" s="3">
        <v>0</v>
      </c>
      <c r="J234" s="3">
        <v>0</v>
      </c>
      <c r="K234" s="3">
        <f>IF($B$232=12,'payment summary to Trustee'!$AW234,('payment summary to Trustee'!$BD234-'CDE Intercept  '!$T234)/4)</f>
        <v>0</v>
      </c>
      <c r="L234" s="3">
        <f>IF($B$232=12,'payment summary to Trustee'!$AW234,('payment summary to Trustee'!$BD234-'CDE Intercept  '!$T234)/4)</f>
        <v>0</v>
      </c>
      <c r="M234" s="3">
        <f>IF($B$232=12,'payment summary to Trustee'!$AW234,('payment summary to Trustee'!$BD234-'CDE Intercept  '!$T234)/4)</f>
        <v>0</v>
      </c>
      <c r="N234" s="3">
        <v>0</v>
      </c>
      <c r="O234" s="118">
        <f>IF($B$232=12,'payment summary to Trustee'!$AW234,('payment summary to Trustee'!$BD234-'CDE Intercept  '!$T234)/4)</f>
        <v>0</v>
      </c>
      <c r="P234" s="3">
        <v>0</v>
      </c>
      <c r="Q234" s="3">
        <v>0</v>
      </c>
      <c r="R234" s="3">
        <f>SUM(F234:Q234)</f>
        <v>250</v>
      </c>
      <c r="T234" s="3">
        <f t="shared" ref="T234:T235" si="98">SUM(F234:J234)</f>
        <v>250</v>
      </c>
      <c r="U234" s="93">
        <f>SUM(K234:Q234)</f>
        <v>0</v>
      </c>
      <c r="V234" s="11">
        <f>SUM(T234:U234)-R234</f>
        <v>0</v>
      </c>
    </row>
    <row r="235" spans="1:22" ht="13.5" thickBot="1" x14ac:dyDescent="0.35">
      <c r="A235" t="s">
        <v>114</v>
      </c>
      <c r="B235">
        <v>9.3000000000000007</v>
      </c>
      <c r="E235" s="8" t="s">
        <v>10</v>
      </c>
      <c r="F235" s="3">
        <f>19602.98+23877.01</f>
        <v>43479.99</v>
      </c>
      <c r="G235" s="3">
        <f>19662.07+23817.92</f>
        <v>43479.99</v>
      </c>
      <c r="H235" s="3">
        <f>20487.73+22992.26</f>
        <v>43479.99</v>
      </c>
      <c r="I235" s="3">
        <f>19783.07+23696.92</f>
        <v>43479.99</v>
      </c>
      <c r="J235" s="3">
        <f>20605.19+22874.8</f>
        <v>43479.99</v>
      </c>
      <c r="K235" s="3">
        <f>IF($B$232=12,'payment summary to Trustee'!$AW235,('payment summary to Trustee'!$BD235-'CDE Intercept  '!$T235)/4)</f>
        <v>76089.982499999984</v>
      </c>
      <c r="L235" s="3">
        <f>IF($B$232=12,'payment summary to Trustee'!$AW235,('payment summary to Trustee'!$BD235-'CDE Intercept  '!$T235)/4)</f>
        <v>76089.982499999984</v>
      </c>
      <c r="M235" s="3">
        <f>IF($B$232=12,'payment summary to Trustee'!$AW235,('payment summary to Trustee'!$BD235-'CDE Intercept  '!$T235)/4)</f>
        <v>76089.982499999984</v>
      </c>
      <c r="N235" s="3">
        <v>0</v>
      </c>
      <c r="O235" s="118">
        <f>IF($B$232=12,'payment summary to Trustee'!$AW235,('payment summary to Trustee'!$BD235-'CDE Intercept  '!$T235)/4)</f>
        <v>76089.982499999984</v>
      </c>
      <c r="P235" s="3">
        <v>0</v>
      </c>
      <c r="Q235" s="3">
        <v>0</v>
      </c>
      <c r="R235" s="3">
        <f>SUM(F235:Q235)</f>
        <v>521759.87999999995</v>
      </c>
      <c r="T235" s="3">
        <f t="shared" si="98"/>
        <v>217399.94999999998</v>
      </c>
      <c r="U235" s="94">
        <f>SUM(K235:Q235)</f>
        <v>304359.92999999993</v>
      </c>
      <c r="V235" s="11">
        <f>SUM(T235:U235)-R235</f>
        <v>0</v>
      </c>
    </row>
    <row r="236" spans="1:22" ht="13.5" thickBot="1" x14ac:dyDescent="0.35">
      <c r="E236" s="13" t="s">
        <v>115</v>
      </c>
      <c r="F236" s="22">
        <f t="shared" ref="F236:R236" si="99">SUM(F233:F235)</f>
        <v>43729.99</v>
      </c>
      <c r="G236" s="22">
        <f t="shared" si="99"/>
        <v>43479.99</v>
      </c>
      <c r="H236" s="22">
        <f t="shared" si="99"/>
        <v>43479.99</v>
      </c>
      <c r="I236" s="22">
        <f t="shared" si="99"/>
        <v>43479.99</v>
      </c>
      <c r="J236" s="22">
        <f t="shared" si="99"/>
        <v>43479.99</v>
      </c>
      <c r="K236" s="22">
        <f t="shared" si="99"/>
        <v>76089.982499999984</v>
      </c>
      <c r="L236" s="22">
        <f t="shared" si="99"/>
        <v>76089.982499999984</v>
      </c>
      <c r="M236" s="22">
        <f t="shared" si="99"/>
        <v>76089.982499999984</v>
      </c>
      <c r="N236" s="22">
        <f t="shared" si="99"/>
        <v>0</v>
      </c>
      <c r="O236" s="119">
        <f t="shared" si="99"/>
        <v>76089.982499999984</v>
      </c>
      <c r="P236" s="22">
        <f t="shared" ref="P236" si="100">SUM(P233:P235)</f>
        <v>0</v>
      </c>
      <c r="Q236" s="22">
        <f t="shared" si="99"/>
        <v>0</v>
      </c>
      <c r="R236" s="22">
        <f t="shared" si="99"/>
        <v>522009.87999999995</v>
      </c>
      <c r="T236" s="39">
        <f>SUM(T233:T235)</f>
        <v>217649.94999999998</v>
      </c>
      <c r="U236" s="78">
        <f>SUM(U233:U235)</f>
        <v>304359.92999999993</v>
      </c>
      <c r="V236" s="11">
        <f>SUM(T236:U236)-R236</f>
        <v>0</v>
      </c>
    </row>
    <row r="237" spans="1:22" x14ac:dyDescent="0.3">
      <c r="E237" s="15"/>
      <c r="O237" s="118"/>
    </row>
    <row r="238" spans="1:22" ht="15.5" x14ac:dyDescent="0.35">
      <c r="D238" s="30" t="s">
        <v>6</v>
      </c>
      <c r="E238" s="10" t="s">
        <v>116</v>
      </c>
      <c r="O238" s="118"/>
    </row>
    <row r="239" spans="1:22" x14ac:dyDescent="0.3">
      <c r="E239" s="8" t="s">
        <v>8</v>
      </c>
      <c r="O239" s="118"/>
    </row>
    <row r="240" spans="1:22" x14ac:dyDescent="0.3">
      <c r="E240" s="8" t="s">
        <v>9</v>
      </c>
      <c r="O240" s="118"/>
    </row>
    <row r="241" spans="1:22" ht="13.5" thickBot="1" x14ac:dyDescent="0.35">
      <c r="A241" t="s">
        <v>117</v>
      </c>
      <c r="E241" s="8" t="s">
        <v>10</v>
      </c>
      <c r="O241" s="118"/>
    </row>
    <row r="242" spans="1:22" ht="13.5" thickBot="1" x14ac:dyDescent="0.35">
      <c r="E242" s="13" t="s">
        <v>26</v>
      </c>
      <c r="O242" s="118"/>
    </row>
    <row r="243" spans="1:22" x14ac:dyDescent="0.3">
      <c r="E243" s="15"/>
      <c r="O243" s="118"/>
    </row>
    <row r="244" spans="1:22" ht="15.5" x14ac:dyDescent="0.35">
      <c r="B244">
        <v>9</v>
      </c>
      <c r="C244" s="1">
        <f>C232+1</f>
        <v>30</v>
      </c>
      <c r="D244" s="24" t="s">
        <v>14</v>
      </c>
      <c r="E244" s="25" t="s">
        <v>118</v>
      </c>
      <c r="O244" s="118"/>
    </row>
    <row r="245" spans="1:22" x14ac:dyDescent="0.3">
      <c r="B245">
        <v>9.1</v>
      </c>
      <c r="E245" s="8" t="s">
        <v>8</v>
      </c>
      <c r="F245" s="3">
        <v>1540.83</v>
      </c>
      <c r="G245" s="3">
        <v>1540.83</v>
      </c>
      <c r="H245" s="3">
        <v>1540.83</v>
      </c>
      <c r="I245" s="3">
        <v>1540.83</v>
      </c>
      <c r="J245" s="3">
        <v>1540.83</v>
      </c>
      <c r="K245" s="3">
        <f>IF($B$244=12,'payment summary to Trustee'!$AW245,('payment summary to Trustee'!$BD245-'CDE Intercept  '!$T245)/4)</f>
        <v>2696.4524999999999</v>
      </c>
      <c r="L245" s="3">
        <f>IF($B$244=12,'payment summary to Trustee'!$AW245,('payment summary to Trustee'!$BD245-'CDE Intercept  '!$T245)/4)</f>
        <v>2696.4524999999999</v>
      </c>
      <c r="M245" s="3">
        <f>IF($B$244=12,'payment summary to Trustee'!$AW245,('payment summary to Trustee'!$BD245-'CDE Intercept  '!$T245)/4)</f>
        <v>2696.4524999999999</v>
      </c>
      <c r="N245" s="3">
        <v>0</v>
      </c>
      <c r="O245" s="118">
        <f>IF($B$244=12,'payment summary to Trustee'!$AW245,('payment summary to Trustee'!$BD245-'CDE Intercept  '!$T245)/4)</f>
        <v>2696.4524999999999</v>
      </c>
      <c r="P245" s="3">
        <v>0</v>
      </c>
      <c r="Q245" s="3">
        <v>0</v>
      </c>
      <c r="R245" s="3">
        <f>SUM(F245:Q245)</f>
        <v>18489.96</v>
      </c>
      <c r="T245" s="3">
        <f>SUM(F245:J245)</f>
        <v>7704.15</v>
      </c>
      <c r="U245" s="93">
        <f>SUM(K245:Q245)</f>
        <v>10785.81</v>
      </c>
      <c r="V245" s="11">
        <f>SUM(T245:U245)-R245</f>
        <v>0</v>
      </c>
    </row>
    <row r="246" spans="1:22" x14ac:dyDescent="0.3">
      <c r="B246">
        <v>9.1999999999999993</v>
      </c>
      <c r="E246" s="8" t="s">
        <v>9</v>
      </c>
      <c r="F246" s="3">
        <v>250</v>
      </c>
      <c r="G246" s="3">
        <v>0</v>
      </c>
      <c r="H246" s="3">
        <v>0</v>
      </c>
      <c r="I246" s="3">
        <v>0</v>
      </c>
      <c r="J246" s="3">
        <v>0</v>
      </c>
      <c r="K246" s="3">
        <f>IF($B$244=12,'payment summary to Trustee'!$AW246,('payment summary to Trustee'!$BD246-'CDE Intercept  '!$T246)/4)</f>
        <v>0</v>
      </c>
      <c r="L246" s="3">
        <f>IF($B$244=12,'payment summary to Trustee'!$AW246,('payment summary to Trustee'!$BD246-'CDE Intercept  '!$T246)/4)</f>
        <v>0</v>
      </c>
      <c r="M246" s="3">
        <f>IF($B$244=12,'payment summary to Trustee'!$AW246,('payment summary to Trustee'!$BD246-'CDE Intercept  '!$T246)/4)</f>
        <v>0</v>
      </c>
      <c r="N246" s="3">
        <v>0</v>
      </c>
      <c r="O246" s="118">
        <f>IF($B$244=12,'payment summary to Trustee'!$AW246,('payment summary to Trustee'!$BD246-'CDE Intercept  '!$T246)/4)</f>
        <v>0</v>
      </c>
      <c r="P246" s="3">
        <v>0</v>
      </c>
      <c r="Q246" s="3">
        <v>0</v>
      </c>
      <c r="R246" s="3">
        <f>SUM(F246:Q246)</f>
        <v>250</v>
      </c>
      <c r="T246" s="3">
        <f t="shared" ref="T246:T247" si="101">SUM(F246:J246)</f>
        <v>250</v>
      </c>
      <c r="U246" s="93">
        <f>SUM(K246:Q246)</f>
        <v>0</v>
      </c>
      <c r="V246" s="11">
        <f>SUM(T246:U246)-R246</f>
        <v>0</v>
      </c>
    </row>
    <row r="247" spans="1:22" ht="13.5" thickBot="1" x14ac:dyDescent="0.35">
      <c r="A247" t="s">
        <v>119</v>
      </c>
      <c r="B247">
        <v>9.3000000000000007</v>
      </c>
      <c r="E247" s="8" t="s">
        <v>10</v>
      </c>
      <c r="F247" s="3">
        <f>42083.33+60848.96</f>
        <v>102932.29000000001</v>
      </c>
      <c r="G247" s="3">
        <f>42083.33+60848.96</f>
        <v>102932.29000000001</v>
      </c>
      <c r="H247" s="3">
        <f>42083.33+60848.96</f>
        <v>102932.29000000001</v>
      </c>
      <c r="I247" s="3">
        <f>42083.33+60848.96</f>
        <v>102932.29000000001</v>
      </c>
      <c r="J247" s="3">
        <f>42083.33+60848.95</f>
        <v>102932.28</v>
      </c>
      <c r="K247" s="3">
        <f>IF($B$244=12,'payment summary to Trustee'!$AW247,('payment summary to Trustee'!$BD247-'CDE Intercept  '!$T247)/4)</f>
        <v>180127.35000000006</v>
      </c>
      <c r="L247" s="3">
        <f>IF($B$244=12,'payment summary to Trustee'!$AW247,('payment summary to Trustee'!$BD247-'CDE Intercept  '!$T247)/4)</f>
        <v>180127.35000000006</v>
      </c>
      <c r="M247" s="3">
        <f>IF($B$244=12,'payment summary to Trustee'!$AW247,('payment summary to Trustee'!$BD247-'CDE Intercept  '!$T247)/4)</f>
        <v>180127.35000000006</v>
      </c>
      <c r="N247" s="3">
        <v>0</v>
      </c>
      <c r="O247" s="118">
        <f>IF($B$244=12,'payment summary to Trustee'!$AW247,('payment summary to Trustee'!$BD247-'CDE Intercept  '!$T247)/4)</f>
        <v>180127.35000000006</v>
      </c>
      <c r="P247" s="3">
        <v>0</v>
      </c>
      <c r="Q247" s="3">
        <v>0</v>
      </c>
      <c r="R247" s="3">
        <f>SUM(F247:Q247)</f>
        <v>1235170.8400000003</v>
      </c>
      <c r="T247" s="3">
        <f t="shared" si="101"/>
        <v>514661.44000000006</v>
      </c>
      <c r="U247" s="94">
        <f>SUM(K247:Q247)</f>
        <v>720509.40000000026</v>
      </c>
      <c r="V247" s="11">
        <f>SUM(T247:U247)-R247</f>
        <v>0</v>
      </c>
    </row>
    <row r="248" spans="1:22" ht="13.5" thickBot="1" x14ac:dyDescent="0.35">
      <c r="E248" s="13" t="s">
        <v>120</v>
      </c>
      <c r="F248" s="22">
        <f t="shared" ref="F248:R248" si="102">SUM(F245:F247)</f>
        <v>104723.12000000001</v>
      </c>
      <c r="G248" s="22">
        <f t="shared" si="102"/>
        <v>104473.12000000001</v>
      </c>
      <c r="H248" s="22">
        <f t="shared" si="102"/>
        <v>104473.12000000001</v>
      </c>
      <c r="I248" s="22">
        <f t="shared" si="102"/>
        <v>104473.12000000001</v>
      </c>
      <c r="J248" s="22">
        <f t="shared" si="102"/>
        <v>104473.11</v>
      </c>
      <c r="K248" s="22">
        <f t="shared" si="102"/>
        <v>182823.80250000008</v>
      </c>
      <c r="L248" s="22">
        <f t="shared" si="102"/>
        <v>182823.80250000008</v>
      </c>
      <c r="M248" s="22">
        <f t="shared" si="102"/>
        <v>182823.80250000008</v>
      </c>
      <c r="N248" s="22">
        <f t="shared" si="102"/>
        <v>0</v>
      </c>
      <c r="O248" s="119">
        <f t="shared" si="102"/>
        <v>182823.80250000008</v>
      </c>
      <c r="P248" s="22">
        <f t="shared" ref="P248" si="103">SUM(P245:P247)</f>
        <v>0</v>
      </c>
      <c r="Q248" s="22">
        <f t="shared" si="102"/>
        <v>0</v>
      </c>
      <c r="R248" s="22">
        <f t="shared" si="102"/>
        <v>1253910.8000000003</v>
      </c>
      <c r="T248" s="39">
        <f>SUM(T245:T247)</f>
        <v>522615.59000000008</v>
      </c>
      <c r="U248" s="78">
        <f>SUM(U245:U247)</f>
        <v>731295.21000000031</v>
      </c>
      <c r="V248" s="11">
        <f>SUM(T248:U248)-R248</f>
        <v>0</v>
      </c>
    </row>
    <row r="249" spans="1:22" x14ac:dyDescent="0.3">
      <c r="E249" s="15"/>
      <c r="O249" s="118"/>
    </row>
    <row r="250" spans="1:22" ht="15.5" x14ac:dyDescent="0.35">
      <c r="B250">
        <v>9</v>
      </c>
      <c r="C250" s="1">
        <f>C244+1</f>
        <v>31</v>
      </c>
      <c r="D250" s="24" t="s">
        <v>14</v>
      </c>
      <c r="E250" s="25" t="s">
        <v>121</v>
      </c>
      <c r="O250" s="118"/>
    </row>
    <row r="251" spans="1:22" x14ac:dyDescent="0.3">
      <c r="B251">
        <v>9.1</v>
      </c>
      <c r="E251" s="8" t="s">
        <v>8</v>
      </c>
      <c r="F251" s="3">
        <v>305.83</v>
      </c>
      <c r="G251" s="3">
        <v>280.83</v>
      </c>
      <c r="H251" s="3">
        <v>280.83</v>
      </c>
      <c r="I251" s="3">
        <v>280.83</v>
      </c>
      <c r="J251" s="3">
        <v>280.83</v>
      </c>
      <c r="K251" s="3">
        <v>491.45</v>
      </c>
      <c r="L251" s="3">
        <v>491.45</v>
      </c>
      <c r="M251" s="3">
        <v>491.45</v>
      </c>
      <c r="N251" s="3">
        <v>0</v>
      </c>
      <c r="O251" s="118">
        <f>491.45+299.17+0.01</f>
        <v>790.63</v>
      </c>
      <c r="P251" s="3">
        <v>0</v>
      </c>
      <c r="Q251" s="3">
        <v>0</v>
      </c>
      <c r="R251" s="3">
        <f>SUM(F251:Q251)</f>
        <v>3694.1299999999997</v>
      </c>
      <c r="T251" s="3">
        <f>SUM(F251:J251)</f>
        <v>1429.1499999999999</v>
      </c>
      <c r="U251" s="93">
        <f>SUM(K251:Q251)</f>
        <v>2264.98</v>
      </c>
      <c r="V251" s="11">
        <f>SUM(T251:U251)-R251</f>
        <v>0</v>
      </c>
    </row>
    <row r="252" spans="1:22" x14ac:dyDescent="0.3">
      <c r="B252">
        <v>9.1999999999999993</v>
      </c>
      <c r="E252" s="8" t="s">
        <v>9</v>
      </c>
      <c r="F252" s="3">
        <v>250</v>
      </c>
      <c r="G252" s="3">
        <v>0</v>
      </c>
      <c r="H252" s="3">
        <v>0</v>
      </c>
      <c r="I252" s="3">
        <v>0</v>
      </c>
      <c r="J252" s="3">
        <v>0</v>
      </c>
      <c r="K252" s="3">
        <f>IF($B$250=12,'payment summary to Trustee'!$AW252,('payment summary to Trustee'!$BD252-'CDE Intercept  '!$T252)/4)</f>
        <v>0</v>
      </c>
      <c r="L252" s="3">
        <f>IF($B$250=12,'payment summary to Trustee'!$AW252,('payment summary to Trustee'!$BD252-'CDE Intercept  '!$T252)/4)</f>
        <v>0</v>
      </c>
      <c r="M252" s="3">
        <f>IF($B$250=12,'payment summary to Trustee'!$AW252,('payment summary to Trustee'!$BD252-'CDE Intercept  '!$T252)/4)</f>
        <v>0</v>
      </c>
      <c r="N252" s="3">
        <v>0</v>
      </c>
      <c r="O252" s="118">
        <f>IF($B$250=12,'payment summary to Trustee'!$AW252,('payment summary to Trustee'!$BD252-'CDE Intercept  '!$T252)/4)</f>
        <v>0</v>
      </c>
      <c r="P252" s="3">
        <v>0</v>
      </c>
      <c r="Q252" s="3">
        <v>0</v>
      </c>
      <c r="R252" s="3">
        <f>SUM(F252:Q252)</f>
        <v>250</v>
      </c>
      <c r="T252" s="3">
        <f t="shared" ref="T252:T253" si="104">SUM(F252:J252)</f>
        <v>250</v>
      </c>
      <c r="U252" s="93">
        <f>SUM(K252:Q252)</f>
        <v>0</v>
      </c>
      <c r="V252" s="11">
        <f>SUM(T252:U252)-R252</f>
        <v>0</v>
      </c>
    </row>
    <row r="253" spans="1:22" ht="13.5" thickBot="1" x14ac:dyDescent="0.35">
      <c r="A253" t="s">
        <v>122</v>
      </c>
      <c r="B253">
        <v>9.3000000000000007</v>
      </c>
      <c r="E253" s="8" t="s">
        <v>10</v>
      </c>
      <c r="F253" s="3">
        <f>26250+10075</f>
        <v>36325</v>
      </c>
      <c r="G253" s="3">
        <f>26250+10075</f>
        <v>36325</v>
      </c>
      <c r="H253" s="3">
        <f>26250+10075</f>
        <v>36325</v>
      </c>
      <c r="I253" s="3">
        <f>26250+10075</f>
        <v>36325</v>
      </c>
      <c r="J253" s="3">
        <f>26250+10075</f>
        <v>36325</v>
      </c>
      <c r="K253" s="3">
        <v>63459.38</v>
      </c>
      <c r="L253" s="3">
        <v>63459.38</v>
      </c>
      <c r="M253" s="3">
        <v>63459.38</v>
      </c>
      <c r="N253" s="3">
        <v>0</v>
      </c>
      <c r="O253" s="118">
        <f>63459.38-812.5</f>
        <v>62646.879999999997</v>
      </c>
      <c r="P253" s="3">
        <v>0</v>
      </c>
      <c r="Q253" s="3">
        <v>0</v>
      </c>
      <c r="R253" s="3">
        <f>SUM(F253:Q253)</f>
        <v>434650.02</v>
      </c>
      <c r="T253" s="3">
        <f t="shared" si="104"/>
        <v>181625</v>
      </c>
      <c r="U253" s="94">
        <f>SUM(K253:Q253)</f>
        <v>253025.02</v>
      </c>
      <c r="V253" s="11">
        <f>SUM(T253:U253)-R253</f>
        <v>0</v>
      </c>
    </row>
    <row r="254" spans="1:22" ht="13.5" thickBot="1" x14ac:dyDescent="0.35">
      <c r="E254" s="13" t="s">
        <v>123</v>
      </c>
      <c r="F254" s="22">
        <f t="shared" ref="F254:R254" si="105">SUM(F251:F253)</f>
        <v>36880.83</v>
      </c>
      <c r="G254" s="22">
        <f t="shared" si="105"/>
        <v>36605.83</v>
      </c>
      <c r="H254" s="22">
        <f t="shared" si="105"/>
        <v>36605.83</v>
      </c>
      <c r="I254" s="22">
        <f t="shared" si="105"/>
        <v>36605.83</v>
      </c>
      <c r="J254" s="22">
        <f t="shared" si="105"/>
        <v>36605.83</v>
      </c>
      <c r="K254" s="22">
        <f t="shared" si="105"/>
        <v>63950.829999999994</v>
      </c>
      <c r="L254" s="22">
        <f t="shared" si="105"/>
        <v>63950.829999999994</v>
      </c>
      <c r="M254" s="22">
        <f t="shared" si="105"/>
        <v>63950.829999999994</v>
      </c>
      <c r="N254" s="22">
        <f t="shared" si="105"/>
        <v>0</v>
      </c>
      <c r="O254" s="119">
        <f t="shared" si="105"/>
        <v>63437.509999999995</v>
      </c>
      <c r="P254" s="22">
        <f t="shared" ref="P254" si="106">SUM(P251:P253)</f>
        <v>0</v>
      </c>
      <c r="Q254" s="22">
        <f t="shared" si="105"/>
        <v>0</v>
      </c>
      <c r="R254" s="22">
        <f t="shared" si="105"/>
        <v>438594.15</v>
      </c>
      <c r="T254" s="39">
        <f>SUM(T251:T253)</f>
        <v>183304.15</v>
      </c>
      <c r="U254" s="78">
        <f>SUM(U251:U253)</f>
        <v>255290</v>
      </c>
      <c r="V254" s="11">
        <f>SUM(T254:U254)-R254</f>
        <v>0</v>
      </c>
    </row>
    <row r="255" spans="1:22" x14ac:dyDescent="0.3">
      <c r="E255" s="15"/>
      <c r="O255" s="118"/>
    </row>
    <row r="256" spans="1:22" ht="15.5" x14ac:dyDescent="0.35">
      <c r="B256">
        <v>9</v>
      </c>
      <c r="C256" s="1">
        <f>C250+1</f>
        <v>32</v>
      </c>
      <c r="D256" s="24" t="s">
        <v>14</v>
      </c>
      <c r="E256" s="25" t="s">
        <v>124</v>
      </c>
      <c r="O256" s="118"/>
    </row>
    <row r="257" spans="1:22" x14ac:dyDescent="0.3">
      <c r="B257">
        <v>9.1</v>
      </c>
      <c r="E257" s="8" t="s">
        <v>8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f>IF($B$256=12,'payment summary to Trustee'!$AW257,('payment summary to Trustee'!$BD257-'CDE Intercept  '!$T257)/4)</f>
        <v>0</v>
      </c>
      <c r="L257" s="3">
        <f>IF($B$256=12,'payment summary to Trustee'!$AW257,('payment summary to Trustee'!$BD257-'CDE Intercept  '!$T257)/4)</f>
        <v>0</v>
      </c>
      <c r="M257" s="3">
        <f>IF($B$256=12,'payment summary to Trustee'!$AW257,('payment summary to Trustee'!$BD257-'CDE Intercept  '!$T257)/4)</f>
        <v>0</v>
      </c>
      <c r="N257" s="3">
        <v>0</v>
      </c>
      <c r="O257" s="118">
        <f>IF($B$256=12,'payment summary to Trustee'!$AW257,('payment summary to Trustee'!$BD257-'CDE Intercept  '!$T257)/4)</f>
        <v>0</v>
      </c>
      <c r="P257" s="3">
        <v>0</v>
      </c>
      <c r="Q257" s="3">
        <v>0</v>
      </c>
      <c r="R257" s="3">
        <f>SUM(F257:Q257)</f>
        <v>0</v>
      </c>
      <c r="T257" s="3">
        <f>SUM(F257:J257)</f>
        <v>0</v>
      </c>
      <c r="U257" s="93">
        <f>SUM(K257:Q257)</f>
        <v>0</v>
      </c>
      <c r="V257" s="11">
        <f>SUM(T257:U257)-R257</f>
        <v>0</v>
      </c>
    </row>
    <row r="258" spans="1:22" x14ac:dyDescent="0.3">
      <c r="B258">
        <v>9.1999999999999993</v>
      </c>
      <c r="E258" s="8" t="s">
        <v>9</v>
      </c>
      <c r="F258" s="3">
        <v>250</v>
      </c>
      <c r="G258" s="3">
        <v>0</v>
      </c>
      <c r="H258" s="3">
        <v>0</v>
      </c>
      <c r="I258" s="3">
        <v>0</v>
      </c>
      <c r="J258" s="3">
        <v>0</v>
      </c>
      <c r="K258" s="3">
        <f>IF($B$256=12,'payment summary to Trustee'!$AW258,('payment summary to Trustee'!$BD258-'CDE Intercept  '!$T258)/4)</f>
        <v>0</v>
      </c>
      <c r="L258" s="3">
        <f>IF($B$256=12,'payment summary to Trustee'!$AW258,('payment summary to Trustee'!$BD258-'CDE Intercept  '!$T258)/4)</f>
        <v>0</v>
      </c>
      <c r="M258" s="3">
        <f>IF($B$256=12,'payment summary to Trustee'!$AW258,('payment summary to Trustee'!$BD258-'CDE Intercept  '!$T258)/4)</f>
        <v>0</v>
      </c>
      <c r="N258" s="3">
        <v>0</v>
      </c>
      <c r="O258" s="118">
        <f>IF($B$256=12,'payment summary to Trustee'!$AW258,('payment summary to Trustee'!$BD258-'CDE Intercept  '!$T258)/4)</f>
        <v>0</v>
      </c>
      <c r="P258" s="3">
        <v>0</v>
      </c>
      <c r="Q258" s="3">
        <v>0</v>
      </c>
      <c r="R258" s="3">
        <f>SUM(F258:Q258)</f>
        <v>250</v>
      </c>
      <c r="T258" s="3">
        <f t="shared" ref="T258:T259" si="107">SUM(F258:J258)</f>
        <v>250</v>
      </c>
      <c r="U258" s="93">
        <f>SUM(K258:Q258)</f>
        <v>0</v>
      </c>
      <c r="V258" s="11">
        <f>SUM(T258:U258)-R258</f>
        <v>0</v>
      </c>
    </row>
    <row r="259" spans="1:22" ht="13.5" thickBot="1" x14ac:dyDescent="0.35">
      <c r="A259" t="s">
        <v>125</v>
      </c>
      <c r="B259">
        <v>9.3000000000000007</v>
      </c>
      <c r="E259" s="8" t="s">
        <v>10</v>
      </c>
      <c r="F259" s="3">
        <f>41250+76161.46</f>
        <v>117411.46</v>
      </c>
      <c r="G259" s="3">
        <f>41250+76161.46</f>
        <v>117411.46</v>
      </c>
      <c r="H259" s="3">
        <f>41250+76161.46</f>
        <v>117411.46</v>
      </c>
      <c r="I259" s="3">
        <f>41250+76161.46</f>
        <v>117411.46</v>
      </c>
      <c r="J259" s="3">
        <f>41250+76161.46</f>
        <v>117411.46</v>
      </c>
      <c r="K259" s="3">
        <f>IF($B$256=12,'payment summary to Trustee'!$AW259,('payment summary to Trustee'!$BD259-'CDE Intercept  '!$T259)/4)</f>
        <v>205470.04999999993</v>
      </c>
      <c r="L259" s="3">
        <f>IF($B$256=12,'payment summary to Trustee'!$AW259,('payment summary to Trustee'!$BD259-'CDE Intercept  '!$T259)/4)</f>
        <v>205470.04999999993</v>
      </c>
      <c r="M259" s="3">
        <f>IF($B$256=12,'payment summary to Trustee'!$AW259,('payment summary to Trustee'!$BD259-'CDE Intercept  '!$T259)/4)</f>
        <v>205470.04999999993</v>
      </c>
      <c r="N259" s="3">
        <v>0</v>
      </c>
      <c r="O259" s="118">
        <f>IF($B$256=12,'payment summary to Trustee'!$AW259,('payment summary to Trustee'!$BD259-'CDE Intercept  '!$T259)/4)</f>
        <v>205470.04999999993</v>
      </c>
      <c r="P259" s="3">
        <v>0</v>
      </c>
      <c r="Q259" s="3">
        <v>0</v>
      </c>
      <c r="R259" s="3">
        <f>SUM(F259:Q259)</f>
        <v>1408937.4999999995</v>
      </c>
      <c r="T259" s="3">
        <f t="shared" si="107"/>
        <v>587057.30000000005</v>
      </c>
      <c r="U259" s="94">
        <f>SUM(K259:Q259)</f>
        <v>821880.19999999972</v>
      </c>
      <c r="V259" s="11">
        <f>SUM(T259:U259)-R259</f>
        <v>0</v>
      </c>
    </row>
    <row r="260" spans="1:22" ht="13.5" thickBot="1" x14ac:dyDescent="0.35">
      <c r="E260" s="13" t="s">
        <v>126</v>
      </c>
      <c r="F260" s="22">
        <f t="shared" ref="F260:R260" si="108">SUM(F257:F259)</f>
        <v>117661.46</v>
      </c>
      <c r="G260" s="22">
        <f t="shared" si="108"/>
        <v>117411.46</v>
      </c>
      <c r="H260" s="22">
        <f t="shared" si="108"/>
        <v>117411.46</v>
      </c>
      <c r="I260" s="22">
        <f t="shared" si="108"/>
        <v>117411.46</v>
      </c>
      <c r="J260" s="22">
        <f t="shared" si="108"/>
        <v>117411.46</v>
      </c>
      <c r="K260" s="22">
        <f t="shared" si="108"/>
        <v>205470.04999999993</v>
      </c>
      <c r="L260" s="22">
        <f t="shared" si="108"/>
        <v>205470.04999999993</v>
      </c>
      <c r="M260" s="22">
        <f t="shared" si="108"/>
        <v>205470.04999999993</v>
      </c>
      <c r="N260" s="22">
        <f t="shared" si="108"/>
        <v>0</v>
      </c>
      <c r="O260" s="119">
        <f t="shared" si="108"/>
        <v>205470.04999999993</v>
      </c>
      <c r="P260" s="22">
        <f t="shared" ref="P260" si="109">SUM(P257:P259)</f>
        <v>0</v>
      </c>
      <c r="Q260" s="22">
        <f t="shared" si="108"/>
        <v>0</v>
      </c>
      <c r="R260" s="22">
        <f t="shared" si="108"/>
        <v>1409187.4999999995</v>
      </c>
      <c r="T260" s="39">
        <f>SUM(T257:T259)</f>
        <v>587307.30000000005</v>
      </c>
      <c r="U260" s="78">
        <f>SUM(U257:U259)</f>
        <v>821880.19999999972</v>
      </c>
      <c r="V260" s="11">
        <f>SUM(T260:U260)-R260</f>
        <v>0</v>
      </c>
    </row>
    <row r="261" spans="1:22" x14ac:dyDescent="0.3">
      <c r="E261" s="15"/>
      <c r="O261" s="118"/>
    </row>
    <row r="262" spans="1:22" ht="15.5" x14ac:dyDescent="0.35">
      <c r="D262" s="30" t="s">
        <v>6</v>
      </c>
      <c r="E262" s="10" t="s">
        <v>127</v>
      </c>
      <c r="O262" s="118"/>
    </row>
    <row r="263" spans="1:22" x14ac:dyDescent="0.3">
      <c r="E263" s="8" t="s">
        <v>8</v>
      </c>
      <c r="O263" s="118"/>
    </row>
    <row r="264" spans="1:22" x14ac:dyDescent="0.3">
      <c r="E264" s="8" t="s">
        <v>9</v>
      </c>
      <c r="O264" s="118"/>
    </row>
    <row r="265" spans="1:22" ht="13.5" thickBot="1" x14ac:dyDescent="0.35">
      <c r="A265" t="s">
        <v>128</v>
      </c>
      <c r="E265" s="8" t="s">
        <v>10</v>
      </c>
      <c r="O265" s="118"/>
    </row>
    <row r="266" spans="1:22" ht="13.5" thickBot="1" x14ac:dyDescent="0.35">
      <c r="E266" s="13" t="s">
        <v>129</v>
      </c>
      <c r="O266" s="118"/>
    </row>
    <row r="267" spans="1:22" x14ac:dyDescent="0.3">
      <c r="E267" s="15"/>
      <c r="O267" s="118"/>
    </row>
    <row r="268" spans="1:22" ht="15.5" x14ac:dyDescent="0.35">
      <c r="D268" s="30" t="s">
        <v>6</v>
      </c>
      <c r="E268" s="10" t="s">
        <v>130</v>
      </c>
      <c r="O268" s="118"/>
    </row>
    <row r="269" spans="1:22" x14ac:dyDescent="0.3">
      <c r="E269" s="8" t="s">
        <v>8</v>
      </c>
      <c r="O269" s="118"/>
    </row>
    <row r="270" spans="1:22" x14ac:dyDescent="0.3">
      <c r="E270" s="8" t="s">
        <v>9</v>
      </c>
      <c r="O270" s="118"/>
    </row>
    <row r="271" spans="1:22" ht="13.5" thickBot="1" x14ac:dyDescent="0.35">
      <c r="A271" t="s">
        <v>131</v>
      </c>
      <c r="E271" s="8" t="s">
        <v>10</v>
      </c>
      <c r="O271" s="118"/>
    </row>
    <row r="272" spans="1:22" ht="13.5" thickBot="1" x14ac:dyDescent="0.35">
      <c r="E272" s="13" t="s">
        <v>132</v>
      </c>
      <c r="O272" s="118"/>
    </row>
    <row r="273" spans="1:22" x14ac:dyDescent="0.3">
      <c r="E273" s="15"/>
      <c r="O273" s="118"/>
    </row>
    <row r="274" spans="1:22" ht="15.5" x14ac:dyDescent="0.35">
      <c r="D274" s="30" t="s">
        <v>6</v>
      </c>
      <c r="E274" s="10" t="s">
        <v>133</v>
      </c>
      <c r="O274" s="118"/>
    </row>
    <row r="275" spans="1:22" x14ac:dyDescent="0.3">
      <c r="E275" s="8" t="s">
        <v>8</v>
      </c>
      <c r="O275" s="118"/>
    </row>
    <row r="276" spans="1:22" x14ac:dyDescent="0.3">
      <c r="E276" s="8" t="s">
        <v>9</v>
      </c>
      <c r="O276" s="118"/>
    </row>
    <row r="277" spans="1:22" ht="13.5" thickBot="1" x14ac:dyDescent="0.35">
      <c r="A277" t="s">
        <v>134</v>
      </c>
      <c r="E277" s="8" t="s">
        <v>10</v>
      </c>
      <c r="O277" s="118"/>
    </row>
    <row r="278" spans="1:22" ht="13.5" thickBot="1" x14ac:dyDescent="0.35">
      <c r="E278" s="13" t="s">
        <v>135</v>
      </c>
      <c r="O278" s="118"/>
    </row>
    <row r="279" spans="1:22" x14ac:dyDescent="0.3">
      <c r="E279" s="15"/>
      <c r="O279" s="118"/>
    </row>
    <row r="280" spans="1:22" ht="15.5" x14ac:dyDescent="0.35">
      <c r="B280">
        <v>9</v>
      </c>
      <c r="C280" s="1">
        <f>C256+1</f>
        <v>33</v>
      </c>
      <c r="D280" s="24" t="s">
        <v>14</v>
      </c>
      <c r="E280" s="25" t="s">
        <v>136</v>
      </c>
      <c r="O280" s="118"/>
    </row>
    <row r="281" spans="1:22" x14ac:dyDescent="0.3">
      <c r="B281">
        <v>9.1</v>
      </c>
      <c r="E281" s="8" t="s">
        <v>8</v>
      </c>
      <c r="F281" s="3">
        <v>426.67</v>
      </c>
      <c r="G281" s="3">
        <v>426.67</v>
      </c>
      <c r="H281" s="3">
        <v>426.67</v>
      </c>
      <c r="I281" s="3">
        <v>426.67</v>
      </c>
      <c r="J281" s="3">
        <v>426.67</v>
      </c>
      <c r="K281" s="3">
        <f>IF($B$280=12,'payment summary to Trustee'!$AW281,('payment summary to Trustee'!$BD281-'CDE Intercept  '!$T281)/4)</f>
        <v>729.99750000000006</v>
      </c>
      <c r="L281" s="3">
        <f>IF($B$280=12,'payment summary to Trustee'!$AW281,('payment summary to Trustee'!$BD281-'CDE Intercept  '!$T281)/4)</f>
        <v>729.99750000000006</v>
      </c>
      <c r="M281" s="3">
        <f>IF($B$280=12,'payment summary to Trustee'!$AW281,('payment summary to Trustee'!$BD281-'CDE Intercept  '!$T281)/4)</f>
        <v>729.99750000000006</v>
      </c>
      <c r="N281" s="3">
        <v>0</v>
      </c>
      <c r="O281" s="118">
        <f>IF($B$280=12,'payment summary to Trustee'!$AW281,('payment summary to Trustee'!$BD281-'CDE Intercept  '!$T281)/4)</f>
        <v>729.99750000000006</v>
      </c>
      <c r="P281" s="3">
        <v>0</v>
      </c>
      <c r="Q281" s="3">
        <v>0</v>
      </c>
      <c r="R281" s="3">
        <f>SUM(F281:Q281)</f>
        <v>5053.34</v>
      </c>
      <c r="T281" s="3">
        <f>SUM(F281:J281)</f>
        <v>2133.35</v>
      </c>
      <c r="U281" s="93">
        <f>SUM(K281:Q281)</f>
        <v>2919.9900000000002</v>
      </c>
      <c r="V281" s="11">
        <f>SUM(T281:U281)-R281</f>
        <v>0</v>
      </c>
    </row>
    <row r="282" spans="1:22" x14ac:dyDescent="0.3">
      <c r="B282">
        <v>9.1999999999999993</v>
      </c>
      <c r="E282" s="8" t="s">
        <v>9</v>
      </c>
      <c r="F282" s="3">
        <v>250</v>
      </c>
      <c r="G282" s="3">
        <v>0</v>
      </c>
      <c r="H282" s="3">
        <v>0</v>
      </c>
      <c r="I282" s="3">
        <v>0</v>
      </c>
      <c r="J282" s="3">
        <v>0</v>
      </c>
      <c r="K282" s="3">
        <f>IF($B$280=12,'payment summary to Trustee'!$AW282,('payment summary to Trustee'!$BD282-'CDE Intercept  '!$T282)/4)</f>
        <v>0</v>
      </c>
      <c r="L282" s="3">
        <f>IF($B$280=12,'payment summary to Trustee'!$AW282,('payment summary to Trustee'!$BD282-'CDE Intercept  '!$T282)/4)</f>
        <v>0</v>
      </c>
      <c r="M282" s="3">
        <f>IF($B$280=12,'payment summary to Trustee'!$AW282,('payment summary to Trustee'!$BD282-'CDE Intercept  '!$T282)/4)</f>
        <v>0</v>
      </c>
      <c r="N282" s="3">
        <v>0</v>
      </c>
      <c r="O282" s="118">
        <f>IF($B$280=12,'payment summary to Trustee'!$AW282,('payment summary to Trustee'!$BD282-'CDE Intercept  '!$T282)/4)</f>
        <v>0</v>
      </c>
      <c r="P282" s="3">
        <v>0</v>
      </c>
      <c r="Q282" s="3">
        <v>0</v>
      </c>
      <c r="R282" s="3">
        <f>SUM(F282:Q282)</f>
        <v>250</v>
      </c>
      <c r="T282" s="3">
        <f t="shared" ref="T282:T283" si="110">SUM(F282:J282)</f>
        <v>250</v>
      </c>
      <c r="U282" s="93">
        <f>SUM(K282:Q282)</f>
        <v>0</v>
      </c>
      <c r="V282" s="11">
        <f>SUM(T282:U282)-R282</f>
        <v>0</v>
      </c>
    </row>
    <row r="283" spans="1:22" ht="13.5" thickBot="1" x14ac:dyDescent="0.35">
      <c r="A283" t="s">
        <v>137</v>
      </c>
      <c r="B283">
        <v>9.3000000000000007</v>
      </c>
      <c r="E283" s="8" t="s">
        <v>10</v>
      </c>
      <c r="F283" s="3">
        <f>13333.33+18208.33</f>
        <v>31541.660000000003</v>
      </c>
      <c r="G283" s="3">
        <f>13333.33+18208.35</f>
        <v>31541.68</v>
      </c>
      <c r="H283" s="3">
        <f>13333.33+18208.33</f>
        <v>31541.660000000003</v>
      </c>
      <c r="I283" s="3">
        <f>13333.33+18208.33</f>
        <v>31541.660000000003</v>
      </c>
      <c r="J283" s="3">
        <f>13333.33+18208.33</f>
        <v>31541.660000000003</v>
      </c>
      <c r="K283" s="3">
        <f>IF($B$280=12,'payment summary to Trustee'!$AW283,('payment summary to Trustee'!$BD283-'CDE Intercept  '!$T283)/4)</f>
        <v>55497.929999999993</v>
      </c>
      <c r="L283" s="3">
        <f>IF($B$280=12,'payment summary to Trustee'!$AW283,('payment summary to Trustee'!$BD283-'CDE Intercept  '!$T283)/4)</f>
        <v>55497.929999999993</v>
      </c>
      <c r="M283" s="3">
        <f>IF($B$280=12,'payment summary to Trustee'!$AW283,('payment summary to Trustee'!$BD283-'CDE Intercept  '!$T283)/4)</f>
        <v>55497.929999999993</v>
      </c>
      <c r="N283" s="3">
        <v>0</v>
      </c>
      <c r="O283" s="118">
        <f>IF($B$280=12,'payment summary to Trustee'!$AW283,('payment summary to Trustee'!$BD283-'CDE Intercept  '!$T283)/4)</f>
        <v>55497.929999999993</v>
      </c>
      <c r="P283" s="3">
        <v>0</v>
      </c>
      <c r="Q283" s="3">
        <v>0</v>
      </c>
      <c r="R283" s="3">
        <f>SUM(F283:Q283)</f>
        <v>379700.04</v>
      </c>
      <c r="T283" s="3">
        <f t="shared" si="110"/>
        <v>157708.32</v>
      </c>
      <c r="U283" s="94">
        <f>SUM(K283:Q283)</f>
        <v>221991.71999999997</v>
      </c>
      <c r="V283" s="11">
        <f>SUM(T283:U283)-R283</f>
        <v>0</v>
      </c>
    </row>
    <row r="284" spans="1:22" ht="13.5" thickBot="1" x14ac:dyDescent="0.35">
      <c r="E284" s="13" t="s">
        <v>138</v>
      </c>
      <c r="F284" s="22">
        <f t="shared" ref="F284:R284" si="111">SUM(F281:F283)</f>
        <v>32218.33</v>
      </c>
      <c r="G284" s="22">
        <f t="shared" si="111"/>
        <v>31968.35</v>
      </c>
      <c r="H284" s="22">
        <f t="shared" si="111"/>
        <v>31968.33</v>
      </c>
      <c r="I284" s="22">
        <f t="shared" si="111"/>
        <v>31968.33</v>
      </c>
      <c r="J284" s="22">
        <f t="shared" si="111"/>
        <v>31968.33</v>
      </c>
      <c r="K284" s="22">
        <f t="shared" si="111"/>
        <v>56227.927499999991</v>
      </c>
      <c r="L284" s="22">
        <f t="shared" si="111"/>
        <v>56227.927499999991</v>
      </c>
      <c r="M284" s="22">
        <f t="shared" si="111"/>
        <v>56227.927499999991</v>
      </c>
      <c r="N284" s="22">
        <f t="shared" si="111"/>
        <v>0</v>
      </c>
      <c r="O284" s="119">
        <f t="shared" si="111"/>
        <v>56227.927499999991</v>
      </c>
      <c r="P284" s="22">
        <f t="shared" ref="P284" si="112">SUM(P281:P283)</f>
        <v>0</v>
      </c>
      <c r="Q284" s="22">
        <f t="shared" si="111"/>
        <v>0</v>
      </c>
      <c r="R284" s="22">
        <f t="shared" si="111"/>
        <v>385003.38</v>
      </c>
      <c r="T284" s="39">
        <f>SUM(T281:T283)</f>
        <v>160091.67000000001</v>
      </c>
      <c r="U284" s="78">
        <f>SUM(U281:U283)</f>
        <v>224911.70999999996</v>
      </c>
      <c r="V284" s="11">
        <f>SUM(T284:U284)-R284</f>
        <v>0</v>
      </c>
    </row>
    <row r="285" spans="1:22" x14ac:dyDescent="0.3">
      <c r="E285" s="15"/>
      <c r="O285" s="118"/>
    </row>
    <row r="286" spans="1:22" ht="15.5" x14ac:dyDescent="0.35">
      <c r="B286">
        <v>9</v>
      </c>
      <c r="C286" s="1">
        <f>C280+1</f>
        <v>34</v>
      </c>
      <c r="D286" s="24" t="s">
        <v>14</v>
      </c>
      <c r="E286" s="25" t="s">
        <v>139</v>
      </c>
      <c r="O286" s="118"/>
    </row>
    <row r="287" spans="1:22" x14ac:dyDescent="0.3">
      <c r="B287">
        <v>9.1</v>
      </c>
      <c r="E287" s="8" t="s">
        <v>8</v>
      </c>
      <c r="F287" s="3">
        <v>852.92</v>
      </c>
      <c r="G287" s="3">
        <v>852.92</v>
      </c>
      <c r="H287" s="3">
        <v>852.92</v>
      </c>
      <c r="I287" s="3">
        <v>852.92</v>
      </c>
      <c r="J287" s="3">
        <v>852.92</v>
      </c>
      <c r="K287" s="3">
        <f>IF($B$286=12,'payment summary to Trustee'!$AW287,('payment summary to Trustee'!$BD287-'CDE Intercept  '!$T287)/4)</f>
        <v>1470.1049999999998</v>
      </c>
      <c r="L287" s="3">
        <f>IF($B$286=12,'payment summary to Trustee'!$AW287,('payment summary to Trustee'!$BD287-'CDE Intercept  '!$T287)/4)</f>
        <v>1470.1049999999998</v>
      </c>
      <c r="M287" s="3">
        <f>IF($B$286=12,'payment summary to Trustee'!$AW287,('payment summary to Trustee'!$BD287-'CDE Intercept  '!$T287)/4)</f>
        <v>1470.1049999999998</v>
      </c>
      <c r="N287" s="3">
        <v>0</v>
      </c>
      <c r="O287" s="118">
        <f>IF($B$286=12,'payment summary to Trustee'!$AW287,('payment summary to Trustee'!$BD287-'CDE Intercept  '!$T287)/4)</f>
        <v>1470.1049999999998</v>
      </c>
      <c r="P287" s="3">
        <v>0</v>
      </c>
      <c r="Q287" s="3">
        <v>0</v>
      </c>
      <c r="R287" s="3">
        <f>SUM(F287:Q287)</f>
        <v>10145.019999999999</v>
      </c>
      <c r="T287" s="3">
        <f>SUM(F287:J287)</f>
        <v>4264.5999999999995</v>
      </c>
      <c r="U287" s="93">
        <f>SUM(K287:Q287)</f>
        <v>5880.4199999999992</v>
      </c>
      <c r="V287" s="11">
        <f>SUM(T287:U287)-R287</f>
        <v>0</v>
      </c>
    </row>
    <row r="288" spans="1:22" x14ac:dyDescent="0.3">
      <c r="B288">
        <v>9.1999999999999993</v>
      </c>
      <c r="E288" s="8" t="s">
        <v>9</v>
      </c>
      <c r="F288" s="3">
        <v>250</v>
      </c>
      <c r="G288" s="3">
        <v>0</v>
      </c>
      <c r="H288" s="3">
        <v>0</v>
      </c>
      <c r="I288" s="3">
        <v>0</v>
      </c>
      <c r="J288" s="3">
        <v>0</v>
      </c>
      <c r="K288" s="3">
        <f>IF($B$286=12,'payment summary to Trustee'!$AW288,('payment summary to Trustee'!$BD288-'CDE Intercept  '!$T288)/4)</f>
        <v>0</v>
      </c>
      <c r="L288" s="3">
        <f>IF($B$286=12,'payment summary to Trustee'!$AW288,('payment summary to Trustee'!$BD288-'CDE Intercept  '!$T288)/4)</f>
        <v>0</v>
      </c>
      <c r="M288" s="3">
        <f>IF($B$286=12,'payment summary to Trustee'!$AW288,('payment summary to Trustee'!$BD288-'CDE Intercept  '!$T288)/4)</f>
        <v>0</v>
      </c>
      <c r="N288" s="3">
        <v>0</v>
      </c>
      <c r="O288" s="118">
        <f>IF($B$286=12,'payment summary to Trustee'!$AW288,('payment summary to Trustee'!$BD288-'CDE Intercept  '!$T288)/4)</f>
        <v>0</v>
      </c>
      <c r="P288" s="3">
        <v>0</v>
      </c>
      <c r="Q288" s="3">
        <v>0</v>
      </c>
      <c r="R288" s="3">
        <f>SUM(F288:Q288)</f>
        <v>250</v>
      </c>
      <c r="T288" s="3">
        <f t="shared" ref="T288:T289" si="113">SUM(F288:J288)</f>
        <v>250</v>
      </c>
      <c r="U288" s="93">
        <f>SUM(K288:Q288)</f>
        <v>0</v>
      </c>
      <c r="V288" s="11">
        <f>SUM(T288:U288)-R288</f>
        <v>0</v>
      </c>
    </row>
    <row r="289" spans="1:22" ht="13.5" thickBot="1" x14ac:dyDescent="0.35">
      <c r="A289" t="s">
        <v>140</v>
      </c>
      <c r="B289">
        <v>9.3000000000000007</v>
      </c>
      <c r="E289" s="8" t="s">
        <v>10</v>
      </c>
      <c r="F289" s="3">
        <f>38333.33+35957.29</f>
        <v>74290.62</v>
      </c>
      <c r="G289" s="3">
        <f>38333.33+35957.29</f>
        <v>74290.62</v>
      </c>
      <c r="H289" s="3">
        <f>38333.33+35957.29</f>
        <v>74290.62</v>
      </c>
      <c r="I289" s="3">
        <f>38333.37+35957.3</f>
        <v>74290.670000000013</v>
      </c>
      <c r="J289" s="3">
        <f>40000+34678.13</f>
        <v>74678.13</v>
      </c>
      <c r="K289" s="3">
        <f>IF($B$286=12,'payment summary to Trustee'!$AW289,('payment summary to Trustee'!$BD289-'CDE Intercept  '!$T289)/4)</f>
        <v>130686.72</v>
      </c>
      <c r="L289" s="3">
        <f>IF($B$286=12,'payment summary to Trustee'!$AW289,('payment summary to Trustee'!$BD289-'CDE Intercept  '!$T289)/4)</f>
        <v>130686.72</v>
      </c>
      <c r="M289" s="3">
        <f>IF($B$286=12,'payment summary to Trustee'!$AW289,('payment summary to Trustee'!$BD289-'CDE Intercept  '!$T289)/4)</f>
        <v>130686.72</v>
      </c>
      <c r="N289" s="3">
        <v>0</v>
      </c>
      <c r="O289" s="118">
        <f>IF($B$286=12,'payment summary to Trustee'!$AW289,('payment summary to Trustee'!$BD289-'CDE Intercept  '!$T289)/4)</f>
        <v>130686.72</v>
      </c>
      <c r="P289" s="3">
        <v>0</v>
      </c>
      <c r="Q289" s="3">
        <v>0</v>
      </c>
      <c r="R289" s="3">
        <f>SUM(F289:Q289)</f>
        <v>894587.53999999992</v>
      </c>
      <c r="T289" s="3">
        <f t="shared" si="113"/>
        <v>371840.66000000003</v>
      </c>
      <c r="U289" s="94">
        <f>SUM(K289:Q289)</f>
        <v>522746.88</v>
      </c>
      <c r="V289" s="11">
        <f>SUM(T289:U289)-R289</f>
        <v>0</v>
      </c>
    </row>
    <row r="290" spans="1:22" ht="13.5" thickBot="1" x14ac:dyDescent="0.35">
      <c r="E290" s="13" t="s">
        <v>141</v>
      </c>
      <c r="F290" s="22">
        <f t="shared" ref="F290:R290" si="114">SUM(F287:F289)</f>
        <v>75393.539999999994</v>
      </c>
      <c r="G290" s="22">
        <f t="shared" si="114"/>
        <v>75143.539999999994</v>
      </c>
      <c r="H290" s="22">
        <f t="shared" si="114"/>
        <v>75143.539999999994</v>
      </c>
      <c r="I290" s="22">
        <f t="shared" si="114"/>
        <v>75143.590000000011</v>
      </c>
      <c r="J290" s="22">
        <f t="shared" si="114"/>
        <v>75531.05</v>
      </c>
      <c r="K290" s="22">
        <f t="shared" si="114"/>
        <v>132156.82500000001</v>
      </c>
      <c r="L290" s="22">
        <f t="shared" si="114"/>
        <v>132156.82500000001</v>
      </c>
      <c r="M290" s="22">
        <f t="shared" si="114"/>
        <v>132156.82500000001</v>
      </c>
      <c r="N290" s="22">
        <f t="shared" si="114"/>
        <v>0</v>
      </c>
      <c r="O290" s="119">
        <f t="shared" si="114"/>
        <v>132156.82500000001</v>
      </c>
      <c r="P290" s="22">
        <f t="shared" ref="P290" si="115">SUM(P287:P289)</f>
        <v>0</v>
      </c>
      <c r="Q290" s="22">
        <f t="shared" si="114"/>
        <v>0</v>
      </c>
      <c r="R290" s="22">
        <f t="shared" si="114"/>
        <v>904982.55999999994</v>
      </c>
      <c r="T290" s="39">
        <f>SUM(T287:T289)</f>
        <v>376355.26</v>
      </c>
      <c r="U290" s="78">
        <f>SUM(U287:U289)</f>
        <v>528627.30000000005</v>
      </c>
      <c r="V290" s="11">
        <f>SUM(T290:U290)-R290</f>
        <v>0</v>
      </c>
    </row>
    <row r="291" spans="1:22" x14ac:dyDescent="0.3">
      <c r="E291" s="15"/>
      <c r="O291" s="118"/>
    </row>
    <row r="292" spans="1:22" ht="15.5" x14ac:dyDescent="0.35">
      <c r="D292" s="30" t="s">
        <v>6</v>
      </c>
      <c r="E292" s="10" t="s">
        <v>142</v>
      </c>
      <c r="O292" s="118"/>
    </row>
    <row r="293" spans="1:22" x14ac:dyDescent="0.3">
      <c r="E293" s="8" t="s">
        <v>8</v>
      </c>
      <c r="O293" s="118"/>
    </row>
    <row r="294" spans="1:22" x14ac:dyDescent="0.3">
      <c r="E294" s="8" t="s">
        <v>9</v>
      </c>
      <c r="O294" s="118"/>
    </row>
    <row r="295" spans="1:22" ht="13.5" thickBot="1" x14ac:dyDescent="0.35">
      <c r="A295" t="s">
        <v>143</v>
      </c>
      <c r="E295" s="8" t="s">
        <v>10</v>
      </c>
      <c r="O295" s="118"/>
    </row>
    <row r="296" spans="1:22" ht="13.5" thickBot="1" x14ac:dyDescent="0.35">
      <c r="E296" s="13" t="s">
        <v>144</v>
      </c>
      <c r="O296" s="118"/>
    </row>
    <row r="297" spans="1:22" x14ac:dyDescent="0.3">
      <c r="E297" s="15"/>
      <c r="O297" s="118"/>
    </row>
    <row r="298" spans="1:22" ht="15.5" x14ac:dyDescent="0.35">
      <c r="D298" s="30" t="s">
        <v>6</v>
      </c>
      <c r="E298" s="10" t="s">
        <v>145</v>
      </c>
      <c r="O298" s="118"/>
    </row>
    <row r="299" spans="1:22" x14ac:dyDescent="0.3">
      <c r="E299" s="8" t="s">
        <v>8</v>
      </c>
      <c r="O299" s="118"/>
    </row>
    <row r="300" spans="1:22" x14ac:dyDescent="0.3">
      <c r="E300" s="8" t="s">
        <v>9</v>
      </c>
      <c r="O300" s="118"/>
    </row>
    <row r="301" spans="1:22" ht="13.5" thickBot="1" x14ac:dyDescent="0.35">
      <c r="A301" t="s">
        <v>146</v>
      </c>
      <c r="E301" s="8" t="s">
        <v>10</v>
      </c>
      <c r="O301" s="118"/>
    </row>
    <row r="302" spans="1:22" ht="13.5" thickBot="1" x14ac:dyDescent="0.35">
      <c r="E302" s="13" t="s">
        <v>147</v>
      </c>
      <c r="O302" s="118"/>
    </row>
    <row r="303" spans="1:22" x14ac:dyDescent="0.3">
      <c r="E303" s="15"/>
      <c r="O303" s="118"/>
    </row>
    <row r="304" spans="1:22" ht="15.5" x14ac:dyDescent="0.35">
      <c r="C304" s="1">
        <f>C286+1</f>
        <v>35</v>
      </c>
      <c r="D304" s="24" t="s">
        <v>14</v>
      </c>
      <c r="E304" s="10" t="s">
        <v>148</v>
      </c>
      <c r="O304" s="118"/>
    </row>
    <row r="305" spans="1:22" x14ac:dyDescent="0.3">
      <c r="E305" s="8" t="s">
        <v>8</v>
      </c>
      <c r="O305" s="118"/>
      <c r="R305" s="3">
        <f>SUM(F305:Q305)</f>
        <v>0</v>
      </c>
    </row>
    <row r="306" spans="1:22" x14ac:dyDescent="0.3">
      <c r="E306" s="8" t="s">
        <v>9</v>
      </c>
      <c r="O306" s="118"/>
      <c r="R306" s="3">
        <f>SUM(F306:Q306)</f>
        <v>0</v>
      </c>
    </row>
    <row r="307" spans="1:22" ht="13.5" thickBot="1" x14ac:dyDescent="0.35">
      <c r="A307" t="s">
        <v>149</v>
      </c>
      <c r="E307" s="8" t="s">
        <v>10</v>
      </c>
      <c r="O307" s="118"/>
      <c r="R307" s="3">
        <f>SUM(F307:Q307)</f>
        <v>0</v>
      </c>
    </row>
    <row r="308" spans="1:22" ht="13.5" thickBot="1" x14ac:dyDescent="0.35">
      <c r="E308" s="13" t="s">
        <v>150</v>
      </c>
      <c r="F308" s="22">
        <f t="shared" ref="F308:R308" si="116">SUM(F305:F307)</f>
        <v>0</v>
      </c>
      <c r="G308" s="22">
        <f t="shared" si="116"/>
        <v>0</v>
      </c>
      <c r="H308" s="22">
        <f t="shared" si="116"/>
        <v>0</v>
      </c>
      <c r="I308" s="22">
        <f t="shared" si="116"/>
        <v>0</v>
      </c>
      <c r="J308" s="22">
        <f t="shared" si="116"/>
        <v>0</v>
      </c>
      <c r="K308" s="22">
        <f t="shared" si="116"/>
        <v>0</v>
      </c>
      <c r="L308" s="22">
        <f t="shared" si="116"/>
        <v>0</v>
      </c>
      <c r="M308" s="22">
        <f t="shared" si="116"/>
        <v>0</v>
      </c>
      <c r="N308" s="22">
        <f t="shared" si="116"/>
        <v>0</v>
      </c>
      <c r="O308" s="119">
        <f t="shared" si="116"/>
        <v>0</v>
      </c>
      <c r="P308" s="22">
        <f t="shared" si="116"/>
        <v>0</v>
      </c>
      <c r="Q308" s="22">
        <f t="shared" si="116"/>
        <v>0</v>
      </c>
      <c r="R308" s="22">
        <f t="shared" si="116"/>
        <v>0</v>
      </c>
      <c r="T308" s="39"/>
    </row>
    <row r="309" spans="1:22" x14ac:dyDescent="0.3">
      <c r="E309" s="15"/>
      <c r="O309" s="118"/>
    </row>
    <row r="310" spans="1:22" ht="15.5" x14ac:dyDescent="0.35">
      <c r="B310">
        <v>9</v>
      </c>
      <c r="C310" s="1">
        <f>C304+1</f>
        <v>36</v>
      </c>
      <c r="D310" s="24" t="s">
        <v>14</v>
      </c>
      <c r="E310" s="25" t="s">
        <v>151</v>
      </c>
      <c r="O310" s="118"/>
    </row>
    <row r="311" spans="1:22" x14ac:dyDescent="0.3">
      <c r="B311">
        <v>9.1</v>
      </c>
      <c r="E311" s="8" t="s">
        <v>8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f>IF($B$310=12,'payment summary to Trustee'!$AW311,('payment summary to Trustee'!$BD311-'CDE Intercept  '!$T311)/4)</f>
        <v>0</v>
      </c>
      <c r="L311" s="3">
        <f>IF($B$310=12,'payment summary to Trustee'!$AW311,('payment summary to Trustee'!$BD311-'CDE Intercept  '!$T311)/4)</f>
        <v>0</v>
      </c>
      <c r="M311" s="3">
        <f>IF($B$310=12,'payment summary to Trustee'!$AW311,('payment summary to Trustee'!$BD311-'CDE Intercept  '!$T311)/4)</f>
        <v>0</v>
      </c>
      <c r="N311" s="3">
        <v>0</v>
      </c>
      <c r="O311" s="118">
        <f>IF($B$310=12,'payment summary to Trustee'!$AW311,('payment summary to Trustee'!$BD311-'CDE Intercept  '!$T311)/4)</f>
        <v>0</v>
      </c>
      <c r="P311" s="3">
        <v>0</v>
      </c>
      <c r="Q311" s="3">
        <v>0</v>
      </c>
      <c r="R311" s="3">
        <f>SUM(F311:Q311)</f>
        <v>0</v>
      </c>
      <c r="T311" s="3">
        <f>SUM(F311:J311)</f>
        <v>0</v>
      </c>
      <c r="U311" s="93">
        <f>SUM(K311:Q311)</f>
        <v>0</v>
      </c>
      <c r="V311" s="11">
        <f>SUM(T311:U311)-R311</f>
        <v>0</v>
      </c>
    </row>
    <row r="312" spans="1:22" x14ac:dyDescent="0.3">
      <c r="B312">
        <v>9.1999999999999993</v>
      </c>
      <c r="E312" s="8" t="s">
        <v>9</v>
      </c>
      <c r="F312" s="3">
        <v>250</v>
      </c>
      <c r="G312" s="3">
        <v>0</v>
      </c>
      <c r="H312" s="3">
        <v>0</v>
      </c>
      <c r="I312" s="3">
        <v>0</v>
      </c>
      <c r="J312" s="3">
        <v>0</v>
      </c>
      <c r="K312" s="3">
        <f>IF($B$310=12,'payment summary to Trustee'!$AW312,('payment summary to Trustee'!$BD312-'CDE Intercept  '!$T312)/4)</f>
        <v>0</v>
      </c>
      <c r="L312" s="3">
        <f>IF($B$310=12,'payment summary to Trustee'!$AW312,('payment summary to Trustee'!$BD312-'CDE Intercept  '!$T312)/4)</f>
        <v>0</v>
      </c>
      <c r="M312" s="3">
        <f>IF($B$310=12,'payment summary to Trustee'!$AW312,('payment summary to Trustee'!$BD312-'CDE Intercept  '!$T312)/4)</f>
        <v>0</v>
      </c>
      <c r="N312" s="3">
        <v>0</v>
      </c>
      <c r="O312" s="118">
        <f>IF($B$310=12,'payment summary to Trustee'!$AW312,('payment summary to Trustee'!$BD312-'CDE Intercept  '!$T312)/4)</f>
        <v>0</v>
      </c>
      <c r="P312" s="3">
        <v>0</v>
      </c>
      <c r="Q312" s="3">
        <v>0</v>
      </c>
      <c r="R312" s="3">
        <f>SUM(F312:Q312)</f>
        <v>250</v>
      </c>
      <c r="T312" s="3">
        <f t="shared" ref="T312:T313" si="117">SUM(F312:J312)</f>
        <v>250</v>
      </c>
      <c r="U312" s="93">
        <f>SUM(K312:Q312)</f>
        <v>0</v>
      </c>
      <c r="V312" s="11">
        <f>SUM(T312:U312)-R312</f>
        <v>0</v>
      </c>
    </row>
    <row r="313" spans="1:22" ht="13.5" thickBot="1" x14ac:dyDescent="0.35">
      <c r="A313" t="s">
        <v>152</v>
      </c>
      <c r="B313">
        <v>9.3000000000000007</v>
      </c>
      <c r="E313" s="8" t="s">
        <v>10</v>
      </c>
      <c r="F313" s="3">
        <f>28750+101142.19</f>
        <v>129892.19</v>
      </c>
      <c r="G313" s="3">
        <f>28750+101142.19</f>
        <v>129892.19</v>
      </c>
      <c r="H313" s="3">
        <f>28750+101142.19</f>
        <v>129892.19</v>
      </c>
      <c r="I313" s="3">
        <f>30000+99812.5</f>
        <v>129812.5</v>
      </c>
      <c r="J313" s="3">
        <f t="shared" ref="J313" si="118">30000+99812.5</f>
        <v>129812.5</v>
      </c>
      <c r="K313" s="3">
        <f>IF($B$310=12,'payment summary to Trustee'!$AW313,('payment summary to Trustee'!$BD313-'CDE Intercept  '!$T313)/4)</f>
        <v>227171.875</v>
      </c>
      <c r="L313" s="3">
        <f>IF($B$310=12,'payment summary to Trustee'!$AW313,('payment summary to Trustee'!$BD313-'CDE Intercept  '!$T313)/4)</f>
        <v>227171.875</v>
      </c>
      <c r="M313" s="3">
        <f>IF($B$310=12,'payment summary to Trustee'!$AW313,('payment summary to Trustee'!$BD313-'CDE Intercept  '!$T313)/4)</f>
        <v>227171.875</v>
      </c>
      <c r="N313" s="3">
        <v>0</v>
      </c>
      <c r="O313" s="118">
        <f>IF($B$310=12,'payment summary to Trustee'!$AW313,('payment summary to Trustee'!$BD313-'CDE Intercept  '!$T313)/4)</f>
        <v>227171.875</v>
      </c>
      <c r="P313" s="3">
        <v>0</v>
      </c>
      <c r="Q313" s="3">
        <v>0</v>
      </c>
      <c r="R313" s="3">
        <f>SUM(F313:Q313)</f>
        <v>1557989.07</v>
      </c>
      <c r="T313" s="3">
        <f t="shared" si="117"/>
        <v>649301.57000000007</v>
      </c>
      <c r="U313" s="94">
        <f>SUM(K313:Q313)</f>
        <v>908687.5</v>
      </c>
      <c r="V313" s="11">
        <f>SUM(T313:U313)-R313</f>
        <v>0</v>
      </c>
    </row>
    <row r="314" spans="1:22" ht="13.5" thickBot="1" x14ac:dyDescent="0.35">
      <c r="E314" s="13" t="s">
        <v>153</v>
      </c>
      <c r="F314" s="22">
        <f t="shared" ref="F314:R314" si="119">SUM(F311:F313)</f>
        <v>130142.19</v>
      </c>
      <c r="G314" s="22">
        <f t="shared" si="119"/>
        <v>129892.19</v>
      </c>
      <c r="H314" s="22">
        <f t="shared" si="119"/>
        <v>129892.19</v>
      </c>
      <c r="I314" s="22">
        <f t="shared" si="119"/>
        <v>129812.5</v>
      </c>
      <c r="J314" s="22">
        <f t="shared" si="119"/>
        <v>129812.5</v>
      </c>
      <c r="K314" s="22">
        <f t="shared" si="119"/>
        <v>227171.875</v>
      </c>
      <c r="L314" s="22">
        <f t="shared" si="119"/>
        <v>227171.875</v>
      </c>
      <c r="M314" s="22">
        <f t="shared" si="119"/>
        <v>227171.875</v>
      </c>
      <c r="N314" s="22">
        <f t="shared" si="119"/>
        <v>0</v>
      </c>
      <c r="O314" s="119">
        <f t="shared" si="119"/>
        <v>227171.875</v>
      </c>
      <c r="P314" s="22">
        <f t="shared" ref="P314" si="120">SUM(P311:P313)</f>
        <v>0</v>
      </c>
      <c r="Q314" s="22">
        <f t="shared" si="119"/>
        <v>0</v>
      </c>
      <c r="R314" s="22">
        <f t="shared" si="119"/>
        <v>1558239.07</v>
      </c>
      <c r="T314" s="39">
        <f>SUM(T311:T313)</f>
        <v>649551.57000000007</v>
      </c>
      <c r="U314" s="78">
        <f>SUM(U311:U313)</f>
        <v>908687.5</v>
      </c>
      <c r="V314" s="11">
        <f>SUM(T314:U314)-R314</f>
        <v>0</v>
      </c>
    </row>
    <row r="315" spans="1:22" x14ac:dyDescent="0.3">
      <c r="E315" s="15"/>
      <c r="O315" s="118"/>
    </row>
    <row r="316" spans="1:22" ht="15.5" x14ac:dyDescent="0.35">
      <c r="D316" s="30" t="s">
        <v>6</v>
      </c>
      <c r="E316" s="10" t="s">
        <v>154</v>
      </c>
      <c r="O316" s="118"/>
    </row>
    <row r="317" spans="1:22" x14ac:dyDescent="0.3">
      <c r="E317" s="8" t="s">
        <v>8</v>
      </c>
      <c r="O317" s="118"/>
    </row>
    <row r="318" spans="1:22" x14ac:dyDescent="0.3">
      <c r="E318" s="8" t="s">
        <v>9</v>
      </c>
      <c r="O318" s="118"/>
    </row>
    <row r="319" spans="1:22" ht="13.5" thickBot="1" x14ac:dyDescent="0.35">
      <c r="A319" t="s">
        <v>155</v>
      </c>
      <c r="E319" s="8" t="s">
        <v>10</v>
      </c>
      <c r="O319" s="118"/>
    </row>
    <row r="320" spans="1:22" ht="13.5" thickBot="1" x14ac:dyDescent="0.35">
      <c r="E320" s="13" t="s">
        <v>156</v>
      </c>
      <c r="O320" s="118"/>
    </row>
    <row r="321" spans="1:22" x14ac:dyDescent="0.3">
      <c r="E321" s="15"/>
      <c r="O321" s="118"/>
    </row>
    <row r="322" spans="1:22" ht="15.5" x14ac:dyDescent="0.35">
      <c r="B322">
        <v>9</v>
      </c>
      <c r="C322" s="1">
        <f>C310+1</f>
        <v>37</v>
      </c>
      <c r="D322" s="24" t="s">
        <v>14</v>
      </c>
      <c r="E322" s="25" t="s">
        <v>157</v>
      </c>
      <c r="O322" s="118"/>
    </row>
    <row r="323" spans="1:22" x14ac:dyDescent="0.3">
      <c r="B323">
        <v>9.1</v>
      </c>
      <c r="E323" s="8" t="s">
        <v>8</v>
      </c>
      <c r="F323" s="3">
        <v>1442.5</v>
      </c>
      <c r="G323" s="3">
        <v>1442.5</v>
      </c>
      <c r="H323" s="3">
        <v>1442.5</v>
      </c>
      <c r="I323" s="3">
        <v>1442.5</v>
      </c>
      <c r="J323" s="3">
        <v>1442.5</v>
      </c>
      <c r="K323" s="3">
        <f>IF($B$322=12,'payment summary to Trustee'!$AW323,('payment summary to Trustee'!$BD323-'CDE Intercept  '!$T323)/4)</f>
        <v>2500.625</v>
      </c>
      <c r="L323" s="3">
        <f>IF($B$322=12,'payment summary to Trustee'!$AW323,('payment summary to Trustee'!$BD323-'CDE Intercept  '!$T323)/4)</f>
        <v>2500.625</v>
      </c>
      <c r="M323" s="3">
        <f>IF($B$322=12,'payment summary to Trustee'!$AW323,('payment summary to Trustee'!$BD323-'CDE Intercept  '!$T323)/4)</f>
        <v>2500.625</v>
      </c>
      <c r="N323" s="3">
        <v>0</v>
      </c>
      <c r="O323" s="118">
        <f>IF($B$322=12,'payment summary to Trustee'!$AW323,('payment summary to Trustee'!$BD323-'CDE Intercept  '!$T323)/4)</f>
        <v>2500.625</v>
      </c>
      <c r="P323" s="3">
        <v>0</v>
      </c>
      <c r="Q323" s="3">
        <v>0</v>
      </c>
      <c r="R323" s="3">
        <f>SUM(F323:Q323)</f>
        <v>17215</v>
      </c>
      <c r="T323" s="3">
        <f>SUM(F323:J323)</f>
        <v>7212.5</v>
      </c>
      <c r="U323" s="93">
        <f>SUM(K323:Q323)</f>
        <v>10002.5</v>
      </c>
      <c r="V323" s="11">
        <f>SUM(T323:U323)-R323</f>
        <v>0</v>
      </c>
    </row>
    <row r="324" spans="1:22" x14ac:dyDescent="0.3">
      <c r="B324">
        <v>9.1999999999999993</v>
      </c>
      <c r="E324" s="8" t="s">
        <v>9</v>
      </c>
      <c r="F324" s="3">
        <v>250</v>
      </c>
      <c r="G324" s="3">
        <v>0</v>
      </c>
      <c r="H324" s="3">
        <v>0</v>
      </c>
      <c r="I324" s="3">
        <v>0</v>
      </c>
      <c r="J324" s="3">
        <v>0</v>
      </c>
      <c r="K324" s="3">
        <f>IF($B$322=12,'payment summary to Trustee'!$AW324,('payment summary to Trustee'!$BD324-'CDE Intercept  '!$T324)/4)</f>
        <v>0</v>
      </c>
      <c r="L324" s="3">
        <f>IF($B$322=12,'payment summary to Trustee'!$AW324,('payment summary to Trustee'!$BD324-'CDE Intercept  '!$T324)/4)</f>
        <v>0</v>
      </c>
      <c r="M324" s="3">
        <f>IF($B$322=12,'payment summary to Trustee'!$AW324,('payment summary to Trustee'!$BD324-'CDE Intercept  '!$T324)/4)</f>
        <v>0</v>
      </c>
      <c r="N324" s="3">
        <v>0</v>
      </c>
      <c r="O324" s="118">
        <f>IF($B$322=12,'payment summary to Trustee'!$AW324,('payment summary to Trustee'!$BD324-'CDE Intercept  '!$T324)/4)</f>
        <v>0</v>
      </c>
      <c r="P324" s="3">
        <v>0</v>
      </c>
      <c r="Q324" s="3">
        <v>0</v>
      </c>
      <c r="R324" s="3">
        <f>SUM(F324:Q324)</f>
        <v>250</v>
      </c>
      <c r="T324" s="3">
        <f t="shared" ref="T324:T325" si="121">SUM(F324:J324)</f>
        <v>250</v>
      </c>
      <c r="U324" s="93">
        <f>SUM(K324:Q324)</f>
        <v>0</v>
      </c>
      <c r="V324" s="11">
        <f>SUM(T324:U324)-R324</f>
        <v>0</v>
      </c>
    </row>
    <row r="325" spans="1:22" ht="13.5" thickBot="1" x14ac:dyDescent="0.35">
      <c r="A325" t="s">
        <v>158</v>
      </c>
      <c r="B325">
        <v>9.3000000000000007</v>
      </c>
      <c r="E325" s="8" t="s">
        <v>10</v>
      </c>
      <c r="F325" s="3">
        <f>23750+71120.83</f>
        <v>94870.83</v>
      </c>
      <c r="G325" s="3">
        <f>23750+71120.83</f>
        <v>94870.83</v>
      </c>
      <c r="H325" s="3">
        <f t="shared" ref="H325:J325" si="122">23750+71120.83</f>
        <v>94870.83</v>
      </c>
      <c r="I325" s="3">
        <f t="shared" si="122"/>
        <v>94870.83</v>
      </c>
      <c r="J325" s="3">
        <f t="shared" si="122"/>
        <v>94870.83</v>
      </c>
      <c r="K325" s="3">
        <f>IF($B$322=12,'payment summary to Trustee'!$AW325,('payment summary to Trustee'!$BD325-'CDE Intercept  '!$T325)/4)</f>
        <v>165936.44999999998</v>
      </c>
      <c r="L325" s="3">
        <f>IF($B$322=12,'payment summary to Trustee'!$AW325,('payment summary to Trustee'!$BD325-'CDE Intercept  '!$T325)/4)</f>
        <v>165936.44999999998</v>
      </c>
      <c r="M325" s="3">
        <f>IF($B$322=12,'payment summary to Trustee'!$AW325,('payment summary to Trustee'!$BD325-'CDE Intercept  '!$T325)/4)</f>
        <v>165936.44999999998</v>
      </c>
      <c r="N325" s="3">
        <v>0</v>
      </c>
      <c r="O325" s="118">
        <f>IF($B$322=12,'payment summary to Trustee'!$AW325,('payment summary to Trustee'!$BD325-'CDE Intercept  '!$T325)/4)</f>
        <v>165936.44999999998</v>
      </c>
      <c r="P325" s="3">
        <v>0</v>
      </c>
      <c r="Q325" s="3">
        <v>0</v>
      </c>
      <c r="R325" s="3">
        <f>SUM(F325:Q325)</f>
        <v>1138099.95</v>
      </c>
      <c r="T325" s="3">
        <f t="shared" si="121"/>
        <v>474354.15</v>
      </c>
      <c r="U325" s="94">
        <f>SUM(K325:Q325)</f>
        <v>663745.79999999993</v>
      </c>
      <c r="V325" s="11">
        <f>SUM(T325:U325)-R325</f>
        <v>0</v>
      </c>
    </row>
    <row r="326" spans="1:22" ht="13.5" thickBot="1" x14ac:dyDescent="0.35">
      <c r="E326" s="13" t="s">
        <v>159</v>
      </c>
      <c r="F326" s="22">
        <f t="shared" ref="F326:R326" si="123">SUM(F323:F325)</f>
        <v>96563.33</v>
      </c>
      <c r="G326" s="22">
        <f t="shared" si="123"/>
        <v>96313.33</v>
      </c>
      <c r="H326" s="22">
        <f t="shared" si="123"/>
        <v>96313.33</v>
      </c>
      <c r="I326" s="22">
        <f t="shared" si="123"/>
        <v>96313.33</v>
      </c>
      <c r="J326" s="22">
        <f t="shared" si="123"/>
        <v>96313.33</v>
      </c>
      <c r="K326" s="22">
        <f t="shared" si="123"/>
        <v>168437.07499999998</v>
      </c>
      <c r="L326" s="22">
        <f t="shared" si="123"/>
        <v>168437.07499999998</v>
      </c>
      <c r="M326" s="22">
        <f t="shared" si="123"/>
        <v>168437.07499999998</v>
      </c>
      <c r="N326" s="22">
        <f t="shared" si="123"/>
        <v>0</v>
      </c>
      <c r="O326" s="119">
        <f t="shared" si="123"/>
        <v>168437.07499999998</v>
      </c>
      <c r="P326" s="22">
        <f t="shared" ref="P326" si="124">SUM(P323:P325)</f>
        <v>0</v>
      </c>
      <c r="Q326" s="22">
        <f t="shared" si="123"/>
        <v>0</v>
      </c>
      <c r="R326" s="22">
        <f t="shared" si="123"/>
        <v>1155564.95</v>
      </c>
      <c r="T326" s="39">
        <f>SUM(T323:T325)</f>
        <v>481816.65</v>
      </c>
      <c r="U326" s="78">
        <f>SUM(U323:U325)</f>
        <v>673748.29999999993</v>
      </c>
      <c r="V326" s="11">
        <f>SUM(T326:U326)-R326</f>
        <v>0</v>
      </c>
    </row>
    <row r="327" spans="1:22" x14ac:dyDescent="0.3">
      <c r="E327" s="15"/>
      <c r="O327" s="118"/>
    </row>
    <row r="328" spans="1:22" ht="15.5" x14ac:dyDescent="0.35">
      <c r="B328">
        <v>9</v>
      </c>
      <c r="C328" s="1">
        <f>C322+1</f>
        <v>38</v>
      </c>
      <c r="D328" s="24" t="s">
        <v>14</v>
      </c>
      <c r="E328" s="25" t="s">
        <v>160</v>
      </c>
      <c r="O328" s="118"/>
    </row>
    <row r="329" spans="1:22" x14ac:dyDescent="0.3">
      <c r="B329">
        <v>9.1</v>
      </c>
      <c r="E329" s="8" t="s">
        <v>8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f>IF($B$328=12,'payment summary to Trustee'!$AW329,('payment summary to Trustee'!$BD329-'CDE Intercept  '!$T329)/4)</f>
        <v>0</v>
      </c>
      <c r="L329" s="3">
        <f>IF($B$328=12,'payment summary to Trustee'!$AW329,('payment summary to Trustee'!$BD329-'CDE Intercept  '!$T329)/4)</f>
        <v>0</v>
      </c>
      <c r="M329" s="3">
        <f>IF($B$328=12,'payment summary to Trustee'!$AW329,('payment summary to Trustee'!$BD329-'CDE Intercept  '!$T329)/4)</f>
        <v>0</v>
      </c>
      <c r="N329" s="3">
        <v>0</v>
      </c>
      <c r="O329" s="118">
        <f>IF($B$328=12,'payment summary to Trustee'!$AW329,('payment summary to Trustee'!$BD329-'CDE Intercept  '!$T329)/4)</f>
        <v>0</v>
      </c>
      <c r="P329" s="3">
        <v>0</v>
      </c>
      <c r="Q329" s="3">
        <v>0</v>
      </c>
      <c r="R329" s="3">
        <f>SUM(F329:Q329)</f>
        <v>0</v>
      </c>
      <c r="T329" s="3">
        <f>SUM(F329:J329)</f>
        <v>0</v>
      </c>
      <c r="U329" s="93">
        <f>SUM(K329:Q329)</f>
        <v>0</v>
      </c>
      <c r="V329" s="11">
        <f>SUM(T329:U329)-R329</f>
        <v>0</v>
      </c>
    </row>
    <row r="330" spans="1:22" x14ac:dyDescent="0.3">
      <c r="B330">
        <v>9.1999999999999993</v>
      </c>
      <c r="E330" s="8" t="s">
        <v>9</v>
      </c>
      <c r="F330" s="3">
        <v>250</v>
      </c>
      <c r="G330" s="3">
        <v>0</v>
      </c>
      <c r="H330" s="3">
        <v>0</v>
      </c>
      <c r="I330" s="3">
        <v>0</v>
      </c>
      <c r="J330" s="3">
        <v>0</v>
      </c>
      <c r="K330" s="3">
        <f>IF($B$328=12,'payment summary to Trustee'!$AW330,('payment summary to Trustee'!$BD330-'CDE Intercept  '!$T330)/4)</f>
        <v>0</v>
      </c>
      <c r="L330" s="3">
        <f>IF($B$328=12,'payment summary to Trustee'!$AW330,('payment summary to Trustee'!$BD330-'CDE Intercept  '!$T330)/4)</f>
        <v>0</v>
      </c>
      <c r="M330" s="3">
        <f>IF($B$328=12,'payment summary to Trustee'!$AW330,('payment summary to Trustee'!$BD330-'CDE Intercept  '!$T330)/4)</f>
        <v>0</v>
      </c>
      <c r="N330" s="3">
        <v>0</v>
      </c>
      <c r="O330" s="118">
        <f>IF($B$328=12,'payment summary to Trustee'!$AW330,('payment summary to Trustee'!$BD330-'CDE Intercept  '!$T330)/4)</f>
        <v>0</v>
      </c>
      <c r="P330" s="3">
        <v>0</v>
      </c>
      <c r="Q330" s="3">
        <v>0</v>
      </c>
      <c r="R330" s="3">
        <f>SUM(F330:Q330)</f>
        <v>250</v>
      </c>
      <c r="T330" s="3">
        <f t="shared" ref="T330:T331" si="125">SUM(F330:J330)</f>
        <v>250</v>
      </c>
      <c r="U330" s="93">
        <f>SUM(K330:Q330)</f>
        <v>0</v>
      </c>
      <c r="V330" s="11">
        <f>SUM(T330:U330)-R330</f>
        <v>0</v>
      </c>
    </row>
    <row r="331" spans="1:22" ht="13.5" thickBot="1" x14ac:dyDescent="0.35">
      <c r="A331" t="s">
        <v>161</v>
      </c>
      <c r="B331">
        <v>9.3000000000000007</v>
      </c>
      <c r="E331" s="8" t="s">
        <v>10</v>
      </c>
      <c r="F331" s="3">
        <f>24377+27129.43</f>
        <v>51506.43</v>
      </c>
      <c r="G331" s="3">
        <f>24377+27045.33</f>
        <v>51422.33</v>
      </c>
      <c r="H331" s="3">
        <f>24377+26961.23</f>
        <v>51338.229999999996</v>
      </c>
      <c r="I331" s="3">
        <f>24377+26877.12</f>
        <v>51254.119999999995</v>
      </c>
      <c r="J331" s="3">
        <f>24377+26793.02</f>
        <v>51170.020000000004</v>
      </c>
      <c r="K331" s="3">
        <f>IF($B$328=12,'payment summary to Trustee'!$AW331,('payment summary to Trustee'!$BD331-'CDE Intercept  '!$T331)/4)</f>
        <v>89728.664999999979</v>
      </c>
      <c r="L331" s="3">
        <f>IF($B$328=12,'payment summary to Trustee'!$AW331,('payment summary to Trustee'!$BD331-'CDE Intercept  '!$T331)/4)</f>
        <v>89728.664999999979</v>
      </c>
      <c r="M331" s="3">
        <f>IF($B$328=12,'payment summary to Trustee'!$AW331,('payment summary to Trustee'!$BD331-'CDE Intercept  '!$T331)/4)</f>
        <v>89728.664999999979</v>
      </c>
      <c r="N331" s="3">
        <v>0</v>
      </c>
      <c r="O331" s="118">
        <f>IF($B$328=12,'payment summary to Trustee'!$AW331,('payment summary to Trustee'!$BD331-'CDE Intercept  '!$T331)/4)</f>
        <v>89728.664999999979</v>
      </c>
      <c r="P331" s="3">
        <v>0</v>
      </c>
      <c r="Q331" s="3">
        <v>0</v>
      </c>
      <c r="R331" s="3">
        <f>SUM(F331:Q331)</f>
        <v>615605.79</v>
      </c>
      <c r="T331" s="3">
        <f t="shared" si="125"/>
        <v>256691.13</v>
      </c>
      <c r="U331" s="94">
        <f>SUM(K331:Q331)</f>
        <v>358914.65999999992</v>
      </c>
      <c r="V331" s="11">
        <f>SUM(T331:U331)-R331</f>
        <v>0</v>
      </c>
    </row>
    <row r="332" spans="1:22" ht="13.5" thickBot="1" x14ac:dyDescent="0.35">
      <c r="E332" s="13" t="s">
        <v>162</v>
      </c>
      <c r="F332" s="22">
        <f t="shared" ref="F332:R332" si="126">SUM(F329:F331)</f>
        <v>51756.43</v>
      </c>
      <c r="G332" s="22">
        <f t="shared" si="126"/>
        <v>51422.33</v>
      </c>
      <c r="H332" s="22">
        <f t="shared" si="126"/>
        <v>51338.229999999996</v>
      </c>
      <c r="I332" s="22">
        <f t="shared" si="126"/>
        <v>51254.119999999995</v>
      </c>
      <c r="J332" s="22">
        <f t="shared" si="126"/>
        <v>51170.020000000004</v>
      </c>
      <c r="K332" s="22">
        <f t="shared" si="126"/>
        <v>89728.664999999979</v>
      </c>
      <c r="L332" s="22">
        <f t="shared" si="126"/>
        <v>89728.664999999979</v>
      </c>
      <c r="M332" s="22">
        <f t="shared" si="126"/>
        <v>89728.664999999979</v>
      </c>
      <c r="N332" s="22">
        <f t="shared" si="126"/>
        <v>0</v>
      </c>
      <c r="O332" s="119">
        <f t="shared" si="126"/>
        <v>89728.664999999979</v>
      </c>
      <c r="P332" s="22">
        <f t="shared" ref="P332" si="127">SUM(P329:P331)</f>
        <v>0</v>
      </c>
      <c r="Q332" s="22">
        <f t="shared" si="126"/>
        <v>0</v>
      </c>
      <c r="R332" s="22">
        <f t="shared" si="126"/>
        <v>615855.79</v>
      </c>
      <c r="T332" s="39">
        <f>SUM(T329:T331)</f>
        <v>256941.13</v>
      </c>
      <c r="U332" s="78">
        <f>SUM(U329:U331)</f>
        <v>358914.65999999992</v>
      </c>
      <c r="V332" s="11">
        <f>SUM(T332:U332)-R332</f>
        <v>0</v>
      </c>
    </row>
    <row r="333" spans="1:22" x14ac:dyDescent="0.3">
      <c r="E333" s="15"/>
      <c r="O333" s="118"/>
    </row>
    <row r="334" spans="1:22" ht="15.5" x14ac:dyDescent="0.35">
      <c r="D334" s="30" t="s">
        <v>6</v>
      </c>
      <c r="E334" s="10" t="s">
        <v>163</v>
      </c>
      <c r="O334" s="118"/>
    </row>
    <row r="335" spans="1:22" x14ac:dyDescent="0.3">
      <c r="E335" s="8" t="s">
        <v>8</v>
      </c>
      <c r="O335" s="118"/>
    </row>
    <row r="336" spans="1:22" x14ac:dyDescent="0.3">
      <c r="E336" s="8" t="s">
        <v>9</v>
      </c>
      <c r="O336" s="118"/>
    </row>
    <row r="337" spans="1:15" ht="13.5" thickBot="1" x14ac:dyDescent="0.35">
      <c r="A337" t="s">
        <v>164</v>
      </c>
      <c r="E337" s="8" t="s">
        <v>10</v>
      </c>
      <c r="O337" s="118"/>
    </row>
    <row r="338" spans="1:15" ht="13.5" thickBot="1" x14ac:dyDescent="0.35">
      <c r="E338" s="13" t="s">
        <v>165</v>
      </c>
      <c r="O338" s="118"/>
    </row>
    <row r="339" spans="1:15" x14ac:dyDescent="0.3">
      <c r="E339" s="15"/>
      <c r="O339" s="118"/>
    </row>
    <row r="340" spans="1:15" ht="15.5" x14ac:dyDescent="0.35">
      <c r="D340" s="30" t="s">
        <v>6</v>
      </c>
      <c r="E340" s="10" t="s">
        <v>166</v>
      </c>
      <c r="O340" s="118"/>
    </row>
    <row r="341" spans="1:15" x14ac:dyDescent="0.3">
      <c r="E341" s="8" t="s">
        <v>8</v>
      </c>
      <c r="O341" s="118"/>
    </row>
    <row r="342" spans="1:15" x14ac:dyDescent="0.3">
      <c r="E342" s="8" t="s">
        <v>9</v>
      </c>
      <c r="O342" s="118"/>
    </row>
    <row r="343" spans="1:15" ht="13.5" thickBot="1" x14ac:dyDescent="0.35">
      <c r="A343" t="s">
        <v>167</v>
      </c>
      <c r="E343" s="8" t="s">
        <v>10</v>
      </c>
      <c r="O343" s="118"/>
    </row>
    <row r="344" spans="1:15" ht="13.5" thickBot="1" x14ac:dyDescent="0.35">
      <c r="E344" s="13" t="s">
        <v>26</v>
      </c>
      <c r="O344" s="118"/>
    </row>
    <row r="345" spans="1:15" x14ac:dyDescent="0.3">
      <c r="E345" s="15"/>
      <c r="O345" s="118"/>
    </row>
    <row r="346" spans="1:15" ht="15.5" x14ac:dyDescent="0.35">
      <c r="D346" s="30" t="s">
        <v>6</v>
      </c>
      <c r="E346" s="10" t="s">
        <v>168</v>
      </c>
      <c r="O346" s="118"/>
    </row>
    <row r="347" spans="1:15" x14ac:dyDescent="0.3">
      <c r="E347" s="8" t="s">
        <v>8</v>
      </c>
      <c r="O347" s="118"/>
    </row>
    <row r="348" spans="1:15" x14ac:dyDescent="0.3">
      <c r="E348" s="8" t="s">
        <v>9</v>
      </c>
      <c r="O348" s="118"/>
    </row>
    <row r="349" spans="1:15" ht="13.5" thickBot="1" x14ac:dyDescent="0.35">
      <c r="A349" t="s">
        <v>169</v>
      </c>
      <c r="E349" s="8" t="s">
        <v>10</v>
      </c>
      <c r="O349" s="118"/>
    </row>
    <row r="350" spans="1:15" ht="13.5" thickBot="1" x14ac:dyDescent="0.35">
      <c r="E350" s="13" t="s">
        <v>170</v>
      </c>
      <c r="O350" s="118"/>
    </row>
    <row r="351" spans="1:15" x14ac:dyDescent="0.3">
      <c r="E351" s="15"/>
      <c r="O351" s="118"/>
    </row>
    <row r="352" spans="1:15" ht="15.5" x14ac:dyDescent="0.35">
      <c r="B352">
        <v>9</v>
      </c>
      <c r="C352" s="1">
        <f>C328+1</f>
        <v>39</v>
      </c>
      <c r="D352" s="24" t="s">
        <v>14</v>
      </c>
      <c r="E352" s="25" t="s">
        <v>171</v>
      </c>
      <c r="O352" s="118"/>
    </row>
    <row r="353" spans="1:22" x14ac:dyDescent="0.3">
      <c r="B353">
        <v>9.1</v>
      </c>
      <c r="E353" s="8" t="s">
        <v>8</v>
      </c>
      <c r="F353" s="3">
        <v>3117.08</v>
      </c>
      <c r="G353" s="3">
        <v>3117.08</v>
      </c>
      <c r="H353" s="3">
        <v>3117.08</v>
      </c>
      <c r="I353" s="3">
        <v>3117.08</v>
      </c>
      <c r="J353" s="3">
        <v>3117.08</v>
      </c>
      <c r="K353" s="3">
        <f>IF($B$352=12,'payment summary to Trustee'!$AW353,('payment summary to Trustee'!$BD353-'CDE Intercept  '!$T353)/4)</f>
        <v>5454.8900000000012</v>
      </c>
      <c r="L353" s="3">
        <f>IF($B$352=12,'payment summary to Trustee'!$AW353,('payment summary to Trustee'!$BD353-'CDE Intercept  '!$T353)/4)</f>
        <v>5454.8900000000012</v>
      </c>
      <c r="M353" s="3">
        <f>IF($B$352=12,'payment summary to Trustee'!$AW353,('payment summary to Trustee'!$BD353-'CDE Intercept  '!$T353)/4)</f>
        <v>5454.8900000000012</v>
      </c>
      <c r="N353" s="3">
        <v>0</v>
      </c>
      <c r="O353" s="118">
        <f>IF($B$352=12,'payment summary to Trustee'!$AW353,('payment summary to Trustee'!$BD353-'CDE Intercept  '!$T353)/4)</f>
        <v>5454.8900000000012</v>
      </c>
      <c r="P353" s="3">
        <v>0</v>
      </c>
      <c r="Q353" s="3">
        <v>0</v>
      </c>
      <c r="R353" s="3">
        <f>SUM(F353:Q353)</f>
        <v>37404.959999999999</v>
      </c>
      <c r="T353" s="3">
        <f>SUM(F353:J353)</f>
        <v>15585.4</v>
      </c>
      <c r="U353" s="93">
        <f>SUM(K353:Q353)</f>
        <v>21819.560000000005</v>
      </c>
      <c r="V353" s="11">
        <f>SUM(T353:U353)-R353</f>
        <v>0</v>
      </c>
    </row>
    <row r="354" spans="1:22" x14ac:dyDescent="0.3">
      <c r="B354">
        <v>9.1999999999999993</v>
      </c>
      <c r="E354" s="8" t="s">
        <v>9</v>
      </c>
      <c r="F354" s="3">
        <v>250</v>
      </c>
      <c r="G354" s="3">
        <v>0</v>
      </c>
      <c r="H354" s="3">
        <v>0</v>
      </c>
      <c r="I354" s="3">
        <v>0</v>
      </c>
      <c r="J354" s="3">
        <v>0</v>
      </c>
      <c r="K354" s="3">
        <f>IF($B$352=12,'payment summary to Trustee'!$AW354,('payment summary to Trustee'!$BD354-'CDE Intercept  '!$T354)/4)</f>
        <v>0</v>
      </c>
      <c r="L354" s="3">
        <f>IF($B$352=12,'payment summary to Trustee'!$AW354,('payment summary to Trustee'!$BD354-'CDE Intercept  '!$T354)/4)</f>
        <v>0</v>
      </c>
      <c r="M354" s="3">
        <f>IF($B$352=12,'payment summary to Trustee'!$AW354,('payment summary to Trustee'!$BD354-'CDE Intercept  '!$T354)/4)</f>
        <v>0</v>
      </c>
      <c r="N354" s="3">
        <v>0</v>
      </c>
      <c r="O354" s="118">
        <f>IF($B$352=12,'payment summary to Trustee'!$AW354,('payment summary to Trustee'!$BD354-'CDE Intercept  '!$T354)/4)</f>
        <v>0</v>
      </c>
      <c r="P354" s="3">
        <v>0</v>
      </c>
      <c r="Q354" s="3">
        <v>0</v>
      </c>
      <c r="R354" s="3">
        <f>SUM(F354:Q354)</f>
        <v>250</v>
      </c>
      <c r="T354" s="3">
        <f t="shared" ref="T354:T355" si="128">SUM(F354:J354)</f>
        <v>250</v>
      </c>
      <c r="U354" s="93">
        <f>SUM(K354:Q354)</f>
        <v>0</v>
      </c>
      <c r="V354" s="11">
        <f>SUM(T354:U354)-R354</f>
        <v>0</v>
      </c>
    </row>
    <row r="355" spans="1:22" ht="13.5" thickBot="1" x14ac:dyDescent="0.35">
      <c r="A355" t="s">
        <v>172</v>
      </c>
      <c r="B355">
        <v>9.3000000000000007</v>
      </c>
      <c r="E355" s="8" t="s">
        <v>10</v>
      </c>
      <c r="F355" s="3">
        <f>65833.33+139075</f>
        <v>204908.33000000002</v>
      </c>
      <c r="G355" s="3">
        <f>65833.33+139075</f>
        <v>204908.33000000002</v>
      </c>
      <c r="H355" s="3">
        <f>65833.33+139075</f>
        <v>204908.33000000002</v>
      </c>
      <c r="I355" s="3">
        <f>65833.33+139075</f>
        <v>204908.33000000002</v>
      </c>
      <c r="J355" s="3">
        <f>65833.33+139075</f>
        <v>204908.33000000002</v>
      </c>
      <c r="K355" s="3">
        <f>IF($B$352=12,'payment summary to Trustee'!$AW355,('payment summary to Trustee'!$BD355-'CDE Intercept  '!$T355)/4)</f>
        <v>359391.65499999997</v>
      </c>
      <c r="L355" s="3">
        <f>IF($B$352=12,'payment summary to Trustee'!$AW355,('payment summary to Trustee'!$BD355-'CDE Intercept  '!$T355)/4)</f>
        <v>359391.65499999997</v>
      </c>
      <c r="M355" s="3">
        <f>IF($B$352=12,'payment summary to Trustee'!$AW355,('payment summary to Trustee'!$BD355-'CDE Intercept  '!$T355)/4)</f>
        <v>359391.65499999997</v>
      </c>
      <c r="N355" s="3">
        <v>0</v>
      </c>
      <c r="O355" s="118">
        <f>IF($B$352=12,'payment summary to Trustee'!$AW355,('payment summary to Trustee'!$BD355-'CDE Intercept  '!$T355)/4)</f>
        <v>359391.65499999997</v>
      </c>
      <c r="P355" s="3">
        <v>0</v>
      </c>
      <c r="Q355" s="3">
        <v>0</v>
      </c>
      <c r="R355" s="3">
        <f>SUM(F355:Q355)</f>
        <v>2462108.27</v>
      </c>
      <c r="T355" s="3">
        <f t="shared" si="128"/>
        <v>1024541.6500000001</v>
      </c>
      <c r="U355" s="94">
        <f>SUM(K355:Q355)</f>
        <v>1437566.6199999999</v>
      </c>
      <c r="V355" s="11">
        <f>SUM(T355:U355)-R355</f>
        <v>0</v>
      </c>
    </row>
    <row r="356" spans="1:22" ht="13.5" thickBot="1" x14ac:dyDescent="0.35">
      <c r="E356" s="13" t="s">
        <v>173</v>
      </c>
      <c r="F356" s="22">
        <f t="shared" ref="F356:R356" si="129">SUM(F353:F355)</f>
        <v>208275.41</v>
      </c>
      <c r="G356" s="22">
        <f t="shared" si="129"/>
        <v>208025.41</v>
      </c>
      <c r="H356" s="22">
        <f t="shared" si="129"/>
        <v>208025.41</v>
      </c>
      <c r="I356" s="22">
        <f t="shared" si="129"/>
        <v>208025.41</v>
      </c>
      <c r="J356" s="22">
        <f t="shared" si="129"/>
        <v>208025.41</v>
      </c>
      <c r="K356" s="22">
        <f t="shared" si="129"/>
        <v>364846.54499999998</v>
      </c>
      <c r="L356" s="22">
        <f t="shared" si="129"/>
        <v>364846.54499999998</v>
      </c>
      <c r="M356" s="22">
        <f t="shared" si="129"/>
        <v>364846.54499999998</v>
      </c>
      <c r="N356" s="22">
        <f t="shared" si="129"/>
        <v>0</v>
      </c>
      <c r="O356" s="119">
        <f t="shared" si="129"/>
        <v>364846.54499999998</v>
      </c>
      <c r="P356" s="22">
        <f t="shared" ref="P356" si="130">SUM(P353:P355)</f>
        <v>0</v>
      </c>
      <c r="Q356" s="22">
        <f t="shared" si="129"/>
        <v>0</v>
      </c>
      <c r="R356" s="22">
        <f t="shared" si="129"/>
        <v>2499763.23</v>
      </c>
      <c r="T356" s="39">
        <f>SUM(T353:T355)</f>
        <v>1040377.0500000002</v>
      </c>
      <c r="U356" s="78">
        <f>SUM(U353:U355)</f>
        <v>1459386.18</v>
      </c>
      <c r="V356" s="11">
        <f>SUM(T356:U356)-R356</f>
        <v>0</v>
      </c>
    </row>
    <row r="357" spans="1:22" x14ac:dyDescent="0.3">
      <c r="E357" s="15"/>
      <c r="O357" s="118"/>
    </row>
    <row r="358" spans="1:22" ht="15.5" x14ac:dyDescent="0.35">
      <c r="D358" s="30" t="s">
        <v>6</v>
      </c>
      <c r="E358" s="10" t="s">
        <v>174</v>
      </c>
      <c r="O358" s="118"/>
    </row>
    <row r="359" spans="1:22" x14ac:dyDescent="0.3">
      <c r="E359" s="8" t="s">
        <v>8</v>
      </c>
      <c r="O359" s="118"/>
    </row>
    <row r="360" spans="1:22" x14ac:dyDescent="0.3">
      <c r="A360" t="s">
        <v>175</v>
      </c>
      <c r="E360" s="8" t="s">
        <v>9</v>
      </c>
      <c r="O360" s="118"/>
    </row>
    <row r="361" spans="1:22" ht="13.5" thickBot="1" x14ac:dyDescent="0.35">
      <c r="E361" s="8" t="s">
        <v>10</v>
      </c>
      <c r="O361" s="118"/>
    </row>
    <row r="362" spans="1:22" ht="13.5" thickBot="1" x14ac:dyDescent="0.35">
      <c r="E362" s="13" t="s">
        <v>176</v>
      </c>
      <c r="O362" s="118"/>
    </row>
    <row r="363" spans="1:22" x14ac:dyDescent="0.3">
      <c r="E363" s="15"/>
      <c r="O363" s="118"/>
    </row>
    <row r="364" spans="1:22" ht="15.5" x14ac:dyDescent="0.35">
      <c r="B364">
        <v>9</v>
      </c>
      <c r="C364" s="1">
        <f>C352+1</f>
        <v>40</v>
      </c>
      <c r="D364" s="24" t="s">
        <v>14</v>
      </c>
      <c r="E364" s="25" t="s">
        <v>177</v>
      </c>
      <c r="O364" s="118"/>
    </row>
    <row r="365" spans="1:22" x14ac:dyDescent="0.3">
      <c r="B365">
        <v>9.1</v>
      </c>
      <c r="E365" s="8" t="s">
        <v>8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f>IF($B$364=12,'payment summary to Trustee'!$AW365,('payment summary to Trustee'!$BD365-'CDE Intercept  '!$T365)/4)</f>
        <v>0</v>
      </c>
      <c r="L365" s="3">
        <f>IF($B$364=12,'payment summary to Trustee'!$AW365,('payment summary to Trustee'!$BD365-'CDE Intercept  '!$T365)/4)</f>
        <v>0</v>
      </c>
      <c r="M365" s="3">
        <f>IF($B$364=12,'payment summary to Trustee'!$AW365,('payment summary to Trustee'!$BD365-'CDE Intercept  '!$T365)/4)</f>
        <v>0</v>
      </c>
      <c r="N365" s="3">
        <v>0</v>
      </c>
      <c r="O365" s="118">
        <f>IF($B$364=12,'payment summary to Trustee'!$AW365,('payment summary to Trustee'!$BD365-'CDE Intercept  '!$T365)/4)</f>
        <v>0</v>
      </c>
      <c r="P365" s="3">
        <v>0</v>
      </c>
      <c r="Q365" s="3">
        <v>0</v>
      </c>
      <c r="R365" s="3">
        <f>SUM(F365:Q365)</f>
        <v>0</v>
      </c>
      <c r="T365" s="3">
        <f>SUM(F365:J365)</f>
        <v>0</v>
      </c>
      <c r="U365" s="93">
        <f>SUM(K365:Q365)</f>
        <v>0</v>
      </c>
      <c r="V365" s="11">
        <f>SUM(T365:U365)-R365</f>
        <v>0</v>
      </c>
    </row>
    <row r="366" spans="1:22" x14ac:dyDescent="0.3">
      <c r="B366">
        <v>9.1999999999999993</v>
      </c>
      <c r="E366" s="8" t="s">
        <v>9</v>
      </c>
      <c r="F366" s="3">
        <v>250</v>
      </c>
      <c r="G366" s="3">
        <v>0</v>
      </c>
      <c r="H366" s="3">
        <v>0</v>
      </c>
      <c r="I366" s="3">
        <v>0</v>
      </c>
      <c r="J366" s="3">
        <v>0</v>
      </c>
      <c r="K366" s="3">
        <f>IF($B$364=12,'payment summary to Trustee'!$AW366,('payment summary to Trustee'!$BD366-'CDE Intercept  '!$T366)/4)</f>
        <v>0</v>
      </c>
      <c r="L366" s="3">
        <f>IF($B$364=12,'payment summary to Trustee'!$AW366,('payment summary to Trustee'!$BD366-'CDE Intercept  '!$T366)/4)</f>
        <v>0</v>
      </c>
      <c r="M366" s="3">
        <f>IF($B$364=12,'payment summary to Trustee'!$AW366,('payment summary to Trustee'!$BD366-'CDE Intercept  '!$T366)/4)</f>
        <v>0</v>
      </c>
      <c r="N366" s="3">
        <v>0</v>
      </c>
      <c r="O366" s="118">
        <f>IF($B$364=12,'payment summary to Trustee'!$AW366,('payment summary to Trustee'!$BD366-'CDE Intercept  '!$T366)/4)</f>
        <v>0</v>
      </c>
      <c r="P366" s="3">
        <v>0</v>
      </c>
      <c r="Q366" s="3">
        <v>0</v>
      </c>
      <c r="R366" s="3">
        <f>SUM(F366:Q366)</f>
        <v>250</v>
      </c>
      <c r="T366" s="3">
        <f t="shared" ref="T366:T367" si="131">SUM(F366:J366)</f>
        <v>250</v>
      </c>
      <c r="U366" s="93">
        <f>SUM(K366:Q366)</f>
        <v>0</v>
      </c>
      <c r="V366" s="11">
        <f>SUM(T366:U366)-R366</f>
        <v>0</v>
      </c>
    </row>
    <row r="367" spans="1:22" ht="13.5" thickBot="1" x14ac:dyDescent="0.35">
      <c r="A367" t="s">
        <v>178</v>
      </c>
      <c r="B367">
        <v>9.3000000000000007</v>
      </c>
      <c r="E367" s="8" t="s">
        <v>10</v>
      </c>
      <c r="F367" s="3">
        <v>33982.839999999997</v>
      </c>
      <c r="G367" s="3">
        <v>33982.839999999997</v>
      </c>
      <c r="H367" s="3">
        <v>33982.839999999997</v>
      </c>
      <c r="I367" s="3">
        <v>33982.839999999997</v>
      </c>
      <c r="J367" s="3">
        <v>33982.839999999997</v>
      </c>
      <c r="K367" s="3">
        <f>IF($B$364=12,'payment summary to Trustee'!$AW367,('payment summary to Trustee'!$BD367-'CDE Intercept  '!$T367)/4)</f>
        <v>59469.969999999965</v>
      </c>
      <c r="L367" s="3">
        <f>IF($B$364=12,'payment summary to Trustee'!$AW367,('payment summary to Trustee'!$BD367-'CDE Intercept  '!$T367)/4)</f>
        <v>59469.969999999965</v>
      </c>
      <c r="M367" s="3">
        <f>IF($B$364=12,'payment summary to Trustee'!$AW367,('payment summary to Trustee'!$BD367-'CDE Intercept  '!$T367)/4)</f>
        <v>59469.969999999965</v>
      </c>
      <c r="N367" s="3">
        <v>0</v>
      </c>
      <c r="O367" s="118">
        <f>IF($B$364=12,'payment summary to Trustee'!$AW367,('payment summary to Trustee'!$BD367-'CDE Intercept  '!$T367)/4)</f>
        <v>59469.969999999965</v>
      </c>
      <c r="P367" s="3">
        <v>0</v>
      </c>
      <c r="Q367" s="3">
        <v>0</v>
      </c>
      <c r="R367" s="3">
        <f>SUM(F367:Q367)</f>
        <v>407794.07999999984</v>
      </c>
      <c r="T367" s="3">
        <f t="shared" si="131"/>
        <v>169914.19999999998</v>
      </c>
      <c r="U367" s="94">
        <f>SUM(K367:Q367)</f>
        <v>237879.87999999986</v>
      </c>
      <c r="V367" s="11">
        <f>SUM(T367:U367)-R367</f>
        <v>0</v>
      </c>
    </row>
    <row r="368" spans="1:22" ht="13.5" thickBot="1" x14ac:dyDescent="0.35">
      <c r="E368" s="13" t="s">
        <v>179</v>
      </c>
      <c r="F368" s="22">
        <f t="shared" ref="F368:R368" si="132">SUM(F365:F367)</f>
        <v>34232.839999999997</v>
      </c>
      <c r="G368" s="22">
        <f t="shared" si="132"/>
        <v>33982.839999999997</v>
      </c>
      <c r="H368" s="22">
        <f t="shared" si="132"/>
        <v>33982.839999999997</v>
      </c>
      <c r="I368" s="22">
        <f t="shared" si="132"/>
        <v>33982.839999999997</v>
      </c>
      <c r="J368" s="22">
        <f t="shared" si="132"/>
        <v>33982.839999999997</v>
      </c>
      <c r="K368" s="22">
        <f t="shared" si="132"/>
        <v>59469.969999999965</v>
      </c>
      <c r="L368" s="22">
        <f t="shared" si="132"/>
        <v>59469.969999999965</v>
      </c>
      <c r="M368" s="22">
        <f t="shared" si="132"/>
        <v>59469.969999999965</v>
      </c>
      <c r="N368" s="22">
        <f t="shared" si="132"/>
        <v>0</v>
      </c>
      <c r="O368" s="119">
        <f t="shared" si="132"/>
        <v>59469.969999999965</v>
      </c>
      <c r="P368" s="22">
        <f t="shared" ref="P368" si="133">SUM(P365:P367)</f>
        <v>0</v>
      </c>
      <c r="Q368" s="22">
        <f t="shared" si="132"/>
        <v>0</v>
      </c>
      <c r="R368" s="22">
        <f t="shared" si="132"/>
        <v>408044.07999999984</v>
      </c>
      <c r="T368" s="39">
        <f>SUM(T365:T367)</f>
        <v>170164.19999999998</v>
      </c>
      <c r="U368" s="78">
        <f>SUM(U365:U367)</f>
        <v>237879.87999999986</v>
      </c>
      <c r="V368" s="11">
        <f>SUM(T368:U368)-R368</f>
        <v>0</v>
      </c>
    </row>
    <row r="369" spans="1:22" x14ac:dyDescent="0.3">
      <c r="E369" s="15"/>
      <c r="O369" s="118"/>
    </row>
    <row r="370" spans="1:22" ht="15.5" x14ac:dyDescent="0.35">
      <c r="B370">
        <v>12</v>
      </c>
      <c r="C370" s="1">
        <f>C364+1</f>
        <v>41</v>
      </c>
      <c r="D370" s="24" t="s">
        <v>14</v>
      </c>
      <c r="E370" s="25" t="s">
        <v>180</v>
      </c>
      <c r="O370" s="118"/>
    </row>
    <row r="371" spans="1:22" x14ac:dyDescent="0.3">
      <c r="B371">
        <v>12.1</v>
      </c>
      <c r="E371" s="8" t="s">
        <v>8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118">
        <v>0</v>
      </c>
      <c r="P371" s="3">
        <v>0</v>
      </c>
      <c r="Q371" s="3">
        <v>0</v>
      </c>
      <c r="R371" s="3">
        <f>SUM(F371:Q371)</f>
        <v>0</v>
      </c>
      <c r="T371" s="3">
        <f>SUM(F371:J371)</f>
        <v>0</v>
      </c>
      <c r="U371" s="93">
        <f>SUM(K371:Q371)</f>
        <v>0</v>
      </c>
      <c r="V371" s="11">
        <f>SUM(T371:U371)-R371</f>
        <v>0</v>
      </c>
    </row>
    <row r="372" spans="1:22" x14ac:dyDescent="0.3">
      <c r="B372">
        <v>12.2</v>
      </c>
      <c r="E372" s="8" t="s">
        <v>9</v>
      </c>
      <c r="F372" s="3">
        <v>250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118">
        <v>0</v>
      </c>
      <c r="P372" s="3">
        <v>0</v>
      </c>
      <c r="Q372" s="3">
        <v>0</v>
      </c>
      <c r="R372" s="3">
        <f>SUM(F372:Q372)</f>
        <v>250</v>
      </c>
      <c r="T372" s="3">
        <f t="shared" ref="T372:T373" si="134">SUM(F372:J372)</f>
        <v>250</v>
      </c>
      <c r="U372" s="93">
        <f>SUM(K372:Q372)</f>
        <v>0</v>
      </c>
      <c r="V372" s="11">
        <f>SUM(T372:U372)-R372</f>
        <v>0</v>
      </c>
    </row>
    <row r="373" spans="1:22" ht="13.5" thickBot="1" x14ac:dyDescent="0.35">
      <c r="A373" t="s">
        <v>181</v>
      </c>
      <c r="B373">
        <v>12.3</v>
      </c>
      <c r="E373" s="8" t="s">
        <v>10</v>
      </c>
      <c r="F373" s="60">
        <f>41666.67+70035</f>
        <v>111701.67</v>
      </c>
      <c r="G373" s="62">
        <f>40000+71775.01+73.33</f>
        <v>111848.34</v>
      </c>
      <c r="H373" s="3">
        <f>40000+71340</f>
        <v>111340</v>
      </c>
      <c r="I373" s="3">
        <f>40000+71340</f>
        <v>111340</v>
      </c>
      <c r="J373" s="3">
        <f>40000+71340</f>
        <v>111340</v>
      </c>
      <c r="K373" s="3">
        <f>40000+70905</f>
        <v>110905</v>
      </c>
      <c r="L373" s="3">
        <f>40000+70905</f>
        <v>110905</v>
      </c>
      <c r="M373" s="3">
        <f>40000+70905</f>
        <v>110905</v>
      </c>
      <c r="N373" s="3">
        <f>40000+70470</f>
        <v>110470</v>
      </c>
      <c r="O373" s="118">
        <f>40000+70470</f>
        <v>110470</v>
      </c>
      <c r="P373" s="3">
        <f>40000+70470.01</f>
        <v>110470.01</v>
      </c>
      <c r="Q373" s="3">
        <f>41666.67+70035</f>
        <v>111701.67</v>
      </c>
      <c r="R373" s="3">
        <f>SUM(F373:Q373)</f>
        <v>1333396.69</v>
      </c>
      <c r="T373" s="3">
        <f t="shared" si="134"/>
        <v>557570.01</v>
      </c>
      <c r="U373" s="94">
        <f>SUM(K373:Q373)</f>
        <v>775826.68</v>
      </c>
      <c r="V373" s="11">
        <f>SUM(T373:U373)-R373</f>
        <v>0</v>
      </c>
    </row>
    <row r="374" spans="1:22" ht="13.5" thickBot="1" x14ac:dyDescent="0.35">
      <c r="E374" s="13" t="s">
        <v>182</v>
      </c>
      <c r="F374" s="22">
        <f t="shared" ref="F374:R374" si="135">SUM(F371:F373)</f>
        <v>111951.67</v>
      </c>
      <c r="G374" s="22">
        <f t="shared" si="135"/>
        <v>111848.34</v>
      </c>
      <c r="H374" s="22">
        <f t="shared" si="135"/>
        <v>111340</v>
      </c>
      <c r="I374" s="22">
        <f t="shared" si="135"/>
        <v>111340</v>
      </c>
      <c r="J374" s="22">
        <f t="shared" si="135"/>
        <v>111340</v>
      </c>
      <c r="K374" s="22">
        <f t="shared" si="135"/>
        <v>110905</v>
      </c>
      <c r="L374" s="22">
        <f t="shared" si="135"/>
        <v>110905</v>
      </c>
      <c r="M374" s="22">
        <f t="shared" si="135"/>
        <v>110905</v>
      </c>
      <c r="N374" s="22">
        <f t="shared" si="135"/>
        <v>110470</v>
      </c>
      <c r="O374" s="119">
        <f t="shared" si="135"/>
        <v>110470</v>
      </c>
      <c r="P374" s="22">
        <f t="shared" si="135"/>
        <v>110470.01</v>
      </c>
      <c r="Q374" s="22">
        <f t="shared" si="135"/>
        <v>111701.67</v>
      </c>
      <c r="R374" s="22">
        <f t="shared" si="135"/>
        <v>1333646.69</v>
      </c>
      <c r="T374" s="39">
        <f>SUM(T371:T373)</f>
        <v>557820.01</v>
      </c>
      <c r="U374" s="78">
        <f>SUM(U371:U373)</f>
        <v>775826.68</v>
      </c>
      <c r="V374" s="11">
        <f>SUM(T374:U374)-R374</f>
        <v>0</v>
      </c>
    </row>
    <row r="375" spans="1:22" x14ac:dyDescent="0.3">
      <c r="E375" s="15"/>
      <c r="O375" s="118"/>
    </row>
    <row r="376" spans="1:22" ht="15.5" x14ac:dyDescent="0.35">
      <c r="B376">
        <v>9</v>
      </c>
      <c r="C376" s="1">
        <f>C370+1</f>
        <v>42</v>
      </c>
      <c r="D376" s="24" t="s">
        <v>14</v>
      </c>
      <c r="E376" s="25" t="s">
        <v>183</v>
      </c>
      <c r="O376" s="118"/>
    </row>
    <row r="377" spans="1:22" x14ac:dyDescent="0.3">
      <c r="B377">
        <v>9.1</v>
      </c>
      <c r="E377" s="8" t="s">
        <v>8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f>IF($B$376=12,'payment summary to Trustee'!$AW377,('payment summary to Trustee'!$BD377-'CDE Intercept  '!$T377)/4)</f>
        <v>0</v>
      </c>
      <c r="L377" s="3">
        <f>IF($B$376=12,'payment summary to Trustee'!$AW377,('payment summary to Trustee'!$BD377-'CDE Intercept  '!$T377)/4)</f>
        <v>0</v>
      </c>
      <c r="M377" s="3">
        <f>IF($B$376=12,'payment summary to Trustee'!$AW377,('payment summary to Trustee'!$BD377-'CDE Intercept  '!$T377)/4)</f>
        <v>0</v>
      </c>
      <c r="N377" s="3">
        <f>IF($B$376=12,'payment summary to Trustee'!$AW377,('payment summary to Trustee'!$BD377-'CDE Intercept  '!$T377)/4)</f>
        <v>0</v>
      </c>
      <c r="O377" s="118">
        <f>IF($B$376=12,'payment summary to Trustee'!$AW377,('payment summary to Trustee'!$BD377-'CDE Intercept  '!$T377)/4)</f>
        <v>0</v>
      </c>
      <c r="P377" s="3">
        <v>0</v>
      </c>
      <c r="Q377" s="3">
        <v>0</v>
      </c>
      <c r="R377" s="3">
        <f>SUM(F377:Q377)</f>
        <v>0</v>
      </c>
      <c r="T377" s="3">
        <f>SUM(F377:J377)</f>
        <v>0</v>
      </c>
      <c r="U377" s="93">
        <f>SUM(K377:Q377)</f>
        <v>0</v>
      </c>
      <c r="V377" s="11">
        <f>SUM(T377:U377)-R377</f>
        <v>0</v>
      </c>
    </row>
    <row r="378" spans="1:22" x14ac:dyDescent="0.3">
      <c r="B378">
        <v>9.1999999999999993</v>
      </c>
      <c r="E378" s="8" t="s">
        <v>9</v>
      </c>
      <c r="F378" s="3">
        <v>250</v>
      </c>
      <c r="G378" s="3">
        <v>0</v>
      </c>
      <c r="H378" s="3">
        <v>0</v>
      </c>
      <c r="I378" s="3">
        <v>0</v>
      </c>
      <c r="J378" s="3">
        <v>0</v>
      </c>
      <c r="K378" s="3">
        <f>IF($B$376=12,'payment summary to Trustee'!$AW378,('payment summary to Trustee'!$BD378-'CDE Intercept  '!$T378)/4)</f>
        <v>0</v>
      </c>
      <c r="L378" s="3">
        <f>IF($B$376=12,'payment summary to Trustee'!$AW378,('payment summary to Trustee'!$BD378-'CDE Intercept  '!$T378)/4)</f>
        <v>0</v>
      </c>
      <c r="M378" s="3">
        <f>IF($B$376=12,'payment summary to Trustee'!$AW378,('payment summary to Trustee'!$BD378-'CDE Intercept  '!$T378)/4)</f>
        <v>0</v>
      </c>
      <c r="N378" s="3">
        <f>IF($B$376=12,'payment summary to Trustee'!$AW378,('payment summary to Trustee'!$BD378-'CDE Intercept  '!$T378)/4)</f>
        <v>0</v>
      </c>
      <c r="O378" s="118">
        <f>IF($B$376=12,'payment summary to Trustee'!$AW378,('payment summary to Trustee'!$BD378-'CDE Intercept  '!$T378)/4)</f>
        <v>0</v>
      </c>
      <c r="P378" s="3">
        <v>0</v>
      </c>
      <c r="Q378" s="3">
        <v>0</v>
      </c>
      <c r="R378" s="3">
        <f>SUM(F378:Q378)</f>
        <v>250</v>
      </c>
      <c r="T378" s="3">
        <f t="shared" ref="T378:T379" si="136">SUM(F378:J378)</f>
        <v>250</v>
      </c>
      <c r="U378" s="93">
        <f>SUM(K378:Q378)</f>
        <v>0</v>
      </c>
      <c r="V378" s="11">
        <f>SUM(T378:U378)-R378</f>
        <v>0</v>
      </c>
    </row>
    <row r="379" spans="1:22" ht="13.5" thickBot="1" x14ac:dyDescent="0.35">
      <c r="A379" t="s">
        <v>184</v>
      </c>
      <c r="B379">
        <v>9.3000000000000007</v>
      </c>
      <c r="E379" s="8" t="s">
        <v>10</v>
      </c>
      <c r="F379" s="3">
        <v>52815.46</v>
      </c>
      <c r="G379" s="3">
        <v>52815.46</v>
      </c>
      <c r="H379" s="3">
        <v>52815.46</v>
      </c>
      <c r="I379" s="3">
        <v>52815.46</v>
      </c>
      <c r="J379" s="3">
        <v>52815.46</v>
      </c>
      <c r="K379" s="3">
        <f>IF($B$376=12,'payment summary to Trustee'!$AW379,('payment summary to Trustee'!$BD379-'CDE Intercept  '!$T379)/4)</f>
        <v>92427.055000000008</v>
      </c>
      <c r="L379" s="3">
        <f>IF($B$376=12,'payment summary to Trustee'!$AW379,('payment summary to Trustee'!$BD379-'CDE Intercept  '!$T379)/4)</f>
        <v>92427.055000000008</v>
      </c>
      <c r="M379" s="3">
        <f>IF($B$376=12,'payment summary to Trustee'!$AW379,('payment summary to Trustee'!$BD379-'CDE Intercept  '!$T379)/4)</f>
        <v>92427.055000000008</v>
      </c>
      <c r="N379" s="3">
        <v>0</v>
      </c>
      <c r="O379" s="118">
        <f>IF($B$376=12,'payment summary to Trustee'!$AW379,('payment summary to Trustee'!$BD379-'CDE Intercept  '!$T379)/4)</f>
        <v>92427.055000000008</v>
      </c>
      <c r="P379" s="3">
        <v>0</v>
      </c>
      <c r="Q379" s="3">
        <v>0</v>
      </c>
      <c r="R379" s="3">
        <f>SUM(F379:Q379)</f>
        <v>633785.52</v>
      </c>
      <c r="T379" s="3">
        <f t="shared" si="136"/>
        <v>264077.3</v>
      </c>
      <c r="U379" s="94">
        <f>SUM(K379:Q379)</f>
        <v>369708.22000000003</v>
      </c>
      <c r="V379" s="11">
        <f>SUM(T379:U379)-R379</f>
        <v>0</v>
      </c>
    </row>
    <row r="380" spans="1:22" ht="13.5" thickBot="1" x14ac:dyDescent="0.35">
      <c r="E380" s="13" t="s">
        <v>185</v>
      </c>
      <c r="F380" s="22">
        <f t="shared" ref="F380:R380" si="137">SUM(F377:F379)</f>
        <v>53065.46</v>
      </c>
      <c r="G380" s="22">
        <f t="shared" si="137"/>
        <v>52815.46</v>
      </c>
      <c r="H380" s="22">
        <f t="shared" si="137"/>
        <v>52815.46</v>
      </c>
      <c r="I380" s="22">
        <f t="shared" si="137"/>
        <v>52815.46</v>
      </c>
      <c r="J380" s="22">
        <f t="shared" si="137"/>
        <v>52815.46</v>
      </c>
      <c r="K380" s="22">
        <f t="shared" si="137"/>
        <v>92427.055000000008</v>
      </c>
      <c r="L380" s="22">
        <f t="shared" si="137"/>
        <v>92427.055000000008</v>
      </c>
      <c r="M380" s="22">
        <f t="shared" si="137"/>
        <v>92427.055000000008</v>
      </c>
      <c r="N380" s="22">
        <f t="shared" si="137"/>
        <v>0</v>
      </c>
      <c r="O380" s="119">
        <f t="shared" si="137"/>
        <v>92427.055000000008</v>
      </c>
      <c r="P380" s="22">
        <f t="shared" ref="P380" si="138">SUM(P377:P379)</f>
        <v>0</v>
      </c>
      <c r="Q380" s="22">
        <f t="shared" si="137"/>
        <v>0</v>
      </c>
      <c r="R380" s="22">
        <f t="shared" si="137"/>
        <v>634035.52</v>
      </c>
      <c r="T380" s="39">
        <f>SUM(T377:T379)</f>
        <v>264327.3</v>
      </c>
      <c r="U380" s="78">
        <f>SUM(U377:U379)</f>
        <v>369708.22000000003</v>
      </c>
      <c r="V380" s="11">
        <f>SUM(T380:U380)-R380</f>
        <v>0</v>
      </c>
    </row>
    <row r="381" spans="1:22" x14ac:dyDescent="0.3">
      <c r="E381" s="15"/>
      <c r="O381" s="118"/>
    </row>
    <row r="382" spans="1:22" ht="15.5" x14ac:dyDescent="0.35">
      <c r="D382" s="30" t="s">
        <v>6</v>
      </c>
      <c r="E382" s="10" t="s">
        <v>186</v>
      </c>
      <c r="O382" s="118"/>
    </row>
    <row r="383" spans="1:22" x14ac:dyDescent="0.3">
      <c r="E383" s="8" t="s">
        <v>8</v>
      </c>
      <c r="O383" s="118"/>
    </row>
    <row r="384" spans="1:22" x14ac:dyDescent="0.3">
      <c r="E384" s="8" t="s">
        <v>9</v>
      </c>
      <c r="O384" s="118"/>
    </row>
    <row r="385" spans="1:15" ht="13.5" thickBot="1" x14ac:dyDescent="0.35">
      <c r="A385" t="s">
        <v>187</v>
      </c>
      <c r="E385" s="8" t="s">
        <v>10</v>
      </c>
      <c r="O385" s="118"/>
    </row>
    <row r="386" spans="1:15" ht="13.5" thickBot="1" x14ac:dyDescent="0.35">
      <c r="E386" s="13" t="s">
        <v>188</v>
      </c>
      <c r="O386" s="118"/>
    </row>
    <row r="387" spans="1:15" x14ac:dyDescent="0.3">
      <c r="E387" s="15"/>
      <c r="O387" s="118"/>
    </row>
    <row r="388" spans="1:15" ht="15.5" x14ac:dyDescent="0.35">
      <c r="D388" s="30" t="s">
        <v>6</v>
      </c>
      <c r="E388" s="10" t="s">
        <v>189</v>
      </c>
      <c r="O388" s="118"/>
    </row>
    <row r="389" spans="1:15" x14ac:dyDescent="0.3">
      <c r="E389" s="8" t="s">
        <v>8</v>
      </c>
      <c r="O389" s="118"/>
    </row>
    <row r="390" spans="1:15" x14ac:dyDescent="0.3">
      <c r="E390" s="8" t="s">
        <v>9</v>
      </c>
      <c r="O390" s="118"/>
    </row>
    <row r="391" spans="1:15" ht="13.5" thickBot="1" x14ac:dyDescent="0.35">
      <c r="A391" t="s">
        <v>190</v>
      </c>
      <c r="E391" s="8" t="s">
        <v>10</v>
      </c>
      <c r="O391" s="118"/>
    </row>
    <row r="392" spans="1:15" ht="13.5" thickBot="1" x14ac:dyDescent="0.35">
      <c r="E392" s="13" t="s">
        <v>191</v>
      </c>
      <c r="O392" s="118"/>
    </row>
    <row r="393" spans="1:15" x14ac:dyDescent="0.3">
      <c r="E393" s="15"/>
      <c r="O393" s="118"/>
    </row>
    <row r="394" spans="1:15" ht="15.5" x14ac:dyDescent="0.35">
      <c r="D394" s="30" t="s">
        <v>6</v>
      </c>
      <c r="E394" s="10" t="s">
        <v>192</v>
      </c>
      <c r="O394" s="118"/>
    </row>
    <row r="395" spans="1:15" x14ac:dyDescent="0.3">
      <c r="E395" s="8" t="s">
        <v>8</v>
      </c>
      <c r="O395" s="118"/>
    </row>
    <row r="396" spans="1:15" x14ac:dyDescent="0.3">
      <c r="E396" s="8" t="s">
        <v>9</v>
      </c>
      <c r="O396" s="118"/>
    </row>
    <row r="397" spans="1:15" ht="13.5" thickBot="1" x14ac:dyDescent="0.35">
      <c r="A397" t="s">
        <v>193</v>
      </c>
      <c r="E397" s="8" t="s">
        <v>10</v>
      </c>
      <c r="O397" s="118"/>
    </row>
    <row r="398" spans="1:15" ht="13.5" thickBot="1" x14ac:dyDescent="0.35">
      <c r="E398" s="13" t="s">
        <v>191</v>
      </c>
      <c r="O398" s="118"/>
    </row>
    <row r="399" spans="1:15" x14ac:dyDescent="0.3">
      <c r="E399" s="15"/>
      <c r="O399" s="118"/>
    </row>
    <row r="400" spans="1:15" ht="15.5" x14ac:dyDescent="0.35">
      <c r="D400" s="30" t="s">
        <v>6</v>
      </c>
      <c r="E400" s="10" t="s">
        <v>194</v>
      </c>
      <c r="O400" s="118"/>
    </row>
    <row r="401" spans="1:22" x14ac:dyDescent="0.3">
      <c r="E401" s="8" t="s">
        <v>8</v>
      </c>
      <c r="O401" s="118"/>
    </row>
    <row r="402" spans="1:22" x14ac:dyDescent="0.3">
      <c r="E402" s="8" t="s">
        <v>9</v>
      </c>
      <c r="O402" s="118"/>
    </row>
    <row r="403" spans="1:22" ht="13.5" thickBot="1" x14ac:dyDescent="0.35">
      <c r="A403" t="s">
        <v>195</v>
      </c>
      <c r="E403" s="8" t="s">
        <v>10</v>
      </c>
      <c r="O403" s="118"/>
    </row>
    <row r="404" spans="1:22" ht="13.5" thickBot="1" x14ac:dyDescent="0.35">
      <c r="E404" s="13" t="s">
        <v>196</v>
      </c>
      <c r="O404" s="118"/>
    </row>
    <row r="405" spans="1:22" x14ac:dyDescent="0.3">
      <c r="E405" s="15"/>
      <c r="O405" s="118"/>
    </row>
    <row r="406" spans="1:22" ht="15.5" x14ac:dyDescent="0.35">
      <c r="D406" s="30" t="s">
        <v>6</v>
      </c>
      <c r="E406" s="10" t="s">
        <v>197</v>
      </c>
      <c r="O406" s="118"/>
    </row>
    <row r="407" spans="1:22" x14ac:dyDescent="0.3">
      <c r="E407" s="8" t="s">
        <v>8</v>
      </c>
      <c r="O407" s="118"/>
    </row>
    <row r="408" spans="1:22" x14ac:dyDescent="0.3">
      <c r="E408" s="8" t="s">
        <v>9</v>
      </c>
      <c r="O408" s="118"/>
    </row>
    <row r="409" spans="1:22" ht="13.5" thickBot="1" x14ac:dyDescent="0.35">
      <c r="A409" t="s">
        <v>198</v>
      </c>
      <c r="E409" s="8" t="s">
        <v>10</v>
      </c>
      <c r="O409" s="118"/>
    </row>
    <row r="410" spans="1:22" ht="13.5" thickBot="1" x14ac:dyDescent="0.35">
      <c r="E410" s="13" t="s">
        <v>196</v>
      </c>
      <c r="O410" s="118"/>
    </row>
    <row r="411" spans="1:22" x14ac:dyDescent="0.3">
      <c r="E411" s="15"/>
      <c r="O411" s="118"/>
    </row>
    <row r="412" spans="1:22" ht="15.5" x14ac:dyDescent="0.35">
      <c r="B412">
        <v>9</v>
      </c>
      <c r="C412" s="1">
        <f>C376+1</f>
        <v>43</v>
      </c>
      <c r="D412" s="24" t="s">
        <v>14</v>
      </c>
      <c r="E412" s="25" t="s">
        <v>199</v>
      </c>
      <c r="O412" s="118"/>
    </row>
    <row r="413" spans="1:22" x14ac:dyDescent="0.3">
      <c r="B413">
        <v>9.1</v>
      </c>
      <c r="E413" s="8" t="s">
        <v>8</v>
      </c>
      <c r="F413" s="3">
        <v>810</v>
      </c>
      <c r="G413" s="3">
        <v>810</v>
      </c>
      <c r="H413" s="3">
        <v>810</v>
      </c>
      <c r="I413" s="3">
        <v>810</v>
      </c>
      <c r="J413" s="3">
        <v>810</v>
      </c>
      <c r="K413" s="3">
        <f>IF($B$412=12,'payment summary to Trustee'!$AW413,('payment summary to Trustee'!$BD413-'CDE Intercept  '!$T413)/4)</f>
        <v>1417.5</v>
      </c>
      <c r="L413" s="3">
        <f>IF($B$412=12,'payment summary to Trustee'!$AW413,('payment summary to Trustee'!$BD413-'CDE Intercept  '!$T413)/4)</f>
        <v>1417.5</v>
      </c>
      <c r="M413" s="3">
        <f>IF($B$412=12,'payment summary to Trustee'!$AW413,('payment summary to Trustee'!$BD413-'CDE Intercept  '!$T413)/4)</f>
        <v>1417.5</v>
      </c>
      <c r="N413" s="3">
        <v>0</v>
      </c>
      <c r="O413" s="118">
        <f>IF($B$412=12,'payment summary to Trustee'!$AW413,('payment summary to Trustee'!$BD413-'CDE Intercept  '!$T413)/4)</f>
        <v>1417.5</v>
      </c>
      <c r="P413" s="3">
        <v>0</v>
      </c>
      <c r="Q413" s="3">
        <v>0</v>
      </c>
      <c r="R413" s="3">
        <f>SUM(F413:Q413)</f>
        <v>9720</v>
      </c>
      <c r="T413" s="3">
        <f>SUM(F413:J413)</f>
        <v>4050</v>
      </c>
      <c r="U413" s="93">
        <f>SUM(K413:Q413)</f>
        <v>5670</v>
      </c>
      <c r="V413" s="11">
        <f>SUM(T413:U413)-R413</f>
        <v>0</v>
      </c>
    </row>
    <row r="414" spans="1:22" x14ac:dyDescent="0.3">
      <c r="B414">
        <v>9.1999999999999993</v>
      </c>
      <c r="E414" s="8" t="s">
        <v>9</v>
      </c>
      <c r="F414" s="3">
        <v>250</v>
      </c>
      <c r="G414" s="3">
        <v>0</v>
      </c>
      <c r="H414" s="3">
        <v>0</v>
      </c>
      <c r="I414" s="3">
        <v>0</v>
      </c>
      <c r="J414" s="3">
        <v>0</v>
      </c>
      <c r="K414" s="3">
        <f>IF($B$412=12,'payment summary to Trustee'!$AW414,('payment summary to Trustee'!$BD414-'CDE Intercept  '!$T414)/4)</f>
        <v>0</v>
      </c>
      <c r="L414" s="3">
        <f>IF($B$412=12,'payment summary to Trustee'!$AW414,('payment summary to Trustee'!$BD414-'CDE Intercept  '!$T414)/4)</f>
        <v>0</v>
      </c>
      <c r="M414" s="3">
        <f>IF($B$412=12,'payment summary to Trustee'!$AW414,('payment summary to Trustee'!$BD414-'CDE Intercept  '!$T414)/4)</f>
        <v>0</v>
      </c>
      <c r="N414" s="3">
        <v>0</v>
      </c>
      <c r="O414" s="118">
        <f>IF($B$412=12,'payment summary to Trustee'!$AW414,('payment summary to Trustee'!$BD414-'CDE Intercept  '!$T414)/4)</f>
        <v>0</v>
      </c>
      <c r="P414" s="3">
        <v>0</v>
      </c>
      <c r="Q414" s="3">
        <v>0</v>
      </c>
      <c r="R414" s="3">
        <f>SUM(F414:Q414)</f>
        <v>250</v>
      </c>
      <c r="T414" s="3">
        <f t="shared" ref="T414:T415" si="139">SUM(F414:J414)</f>
        <v>250</v>
      </c>
      <c r="U414" s="93">
        <f>SUM(K414:Q414)</f>
        <v>0</v>
      </c>
      <c r="V414" s="11">
        <f>SUM(T414:U414)-R414</f>
        <v>0</v>
      </c>
    </row>
    <row r="415" spans="1:22" ht="13.5" thickBot="1" x14ac:dyDescent="0.35">
      <c r="A415" t="s">
        <v>200</v>
      </c>
      <c r="B415">
        <v>9.3000000000000007</v>
      </c>
      <c r="E415" s="8" t="s">
        <v>10</v>
      </c>
      <c r="F415" s="3">
        <f>13333.34+37393.75</f>
        <v>50727.09</v>
      </c>
      <c r="G415" s="3">
        <f>13333.34+37393.75</f>
        <v>50727.09</v>
      </c>
      <c r="H415" s="3">
        <f t="shared" ref="H415:J415" si="140">13333.34+37393.75</f>
        <v>50727.09</v>
      </c>
      <c r="I415" s="3">
        <f t="shared" si="140"/>
        <v>50727.09</v>
      </c>
      <c r="J415" s="3">
        <f t="shared" si="140"/>
        <v>50727.09</v>
      </c>
      <c r="K415" s="3">
        <f>IF($B$412=12,'payment summary to Trustee'!$AW415,('payment summary to Trustee'!$BD415-'CDE Intercept  '!$T415)/4)</f>
        <v>88814.074999999983</v>
      </c>
      <c r="L415" s="3">
        <f>IF($B$412=12,'payment summary to Trustee'!$AW415,('payment summary to Trustee'!$BD415-'CDE Intercept  '!$T415)/4)</f>
        <v>88814.074999999983</v>
      </c>
      <c r="M415" s="3">
        <f>IF($B$412=12,'payment summary to Trustee'!$AW415,('payment summary to Trustee'!$BD415-'CDE Intercept  '!$T415)/4)</f>
        <v>88814.074999999983</v>
      </c>
      <c r="N415" s="3">
        <v>0</v>
      </c>
      <c r="O415" s="118">
        <f>IF($B$412=12,'payment summary to Trustee'!$AW415,('payment summary to Trustee'!$BD415-'CDE Intercept  '!$T415)/4)</f>
        <v>88814.074999999983</v>
      </c>
      <c r="P415" s="3">
        <v>0</v>
      </c>
      <c r="Q415" s="3">
        <v>0</v>
      </c>
      <c r="R415" s="3">
        <f>SUM(F415:Q415)</f>
        <v>608891.74999999988</v>
      </c>
      <c r="T415" s="3">
        <f t="shared" si="139"/>
        <v>253635.44999999998</v>
      </c>
      <c r="U415" s="94">
        <f>SUM(K415:Q415)</f>
        <v>355256.29999999993</v>
      </c>
      <c r="V415" s="11">
        <f>SUM(T415:U415)-R415</f>
        <v>0</v>
      </c>
    </row>
    <row r="416" spans="1:22" ht="13.5" thickBot="1" x14ac:dyDescent="0.35">
      <c r="E416" s="13" t="s">
        <v>201</v>
      </c>
      <c r="F416" s="22">
        <f t="shared" ref="F416:R416" si="141">SUM(F413:F415)</f>
        <v>51787.09</v>
      </c>
      <c r="G416" s="22">
        <f t="shared" si="141"/>
        <v>51537.09</v>
      </c>
      <c r="H416" s="22">
        <f t="shared" si="141"/>
        <v>51537.09</v>
      </c>
      <c r="I416" s="22">
        <f t="shared" si="141"/>
        <v>51537.09</v>
      </c>
      <c r="J416" s="22">
        <f t="shared" si="141"/>
        <v>51537.09</v>
      </c>
      <c r="K416" s="22">
        <f t="shared" si="141"/>
        <v>90231.574999999983</v>
      </c>
      <c r="L416" s="22">
        <f t="shared" si="141"/>
        <v>90231.574999999983</v>
      </c>
      <c r="M416" s="22">
        <f t="shared" si="141"/>
        <v>90231.574999999983</v>
      </c>
      <c r="N416" s="22">
        <f t="shared" si="141"/>
        <v>0</v>
      </c>
      <c r="O416" s="119">
        <f t="shared" si="141"/>
        <v>90231.574999999983</v>
      </c>
      <c r="P416" s="22">
        <f t="shared" ref="P416" si="142">SUM(P413:P415)</f>
        <v>0</v>
      </c>
      <c r="Q416" s="22">
        <f>SUM(Q414:Q415)</f>
        <v>0</v>
      </c>
      <c r="R416" s="22">
        <f t="shared" si="141"/>
        <v>618861.74999999988</v>
      </c>
      <c r="T416" s="39">
        <f>SUM(T413:T415)</f>
        <v>257935.44999999998</v>
      </c>
      <c r="U416" s="78">
        <f>SUM(U413:U415)</f>
        <v>360926.29999999993</v>
      </c>
      <c r="V416" s="11">
        <f>SUM(T416:U416)-R416</f>
        <v>0</v>
      </c>
    </row>
    <row r="417" spans="1:22" x14ac:dyDescent="0.3">
      <c r="E417" s="15"/>
      <c r="O417" s="118"/>
    </row>
    <row r="418" spans="1:22" ht="15.5" x14ac:dyDescent="0.35">
      <c r="B418">
        <v>12</v>
      </c>
      <c r="C418" s="1">
        <f>C412+1</f>
        <v>44</v>
      </c>
      <c r="D418" s="24" t="s">
        <v>14</v>
      </c>
      <c r="E418" s="25" t="s">
        <v>202</v>
      </c>
      <c r="O418" s="118"/>
    </row>
    <row r="419" spans="1:22" x14ac:dyDescent="0.3">
      <c r="B419">
        <v>12.1</v>
      </c>
      <c r="E419" s="8" t="s">
        <v>8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118">
        <v>0</v>
      </c>
      <c r="P419" s="3">
        <v>0</v>
      </c>
      <c r="Q419" s="3">
        <v>0</v>
      </c>
      <c r="R419" s="3">
        <f>SUM(F419:Q419)</f>
        <v>0</v>
      </c>
      <c r="T419" s="3">
        <f>SUM(F419:J419)</f>
        <v>0</v>
      </c>
      <c r="U419" s="93">
        <f>SUM(K419:Q419)</f>
        <v>0</v>
      </c>
      <c r="V419" s="11">
        <f>SUM(T419:U419)-R419</f>
        <v>0</v>
      </c>
    </row>
    <row r="420" spans="1:22" x14ac:dyDescent="0.3">
      <c r="B420">
        <v>12.2</v>
      </c>
      <c r="E420" s="8" t="s">
        <v>9</v>
      </c>
      <c r="F420" s="3">
        <v>250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118">
        <v>0</v>
      </c>
      <c r="P420" s="3">
        <v>0</v>
      </c>
      <c r="Q420" s="3">
        <v>0</v>
      </c>
      <c r="R420" s="3">
        <f>SUM(F420:Q420)</f>
        <v>250</v>
      </c>
      <c r="T420" s="3">
        <f t="shared" ref="T420:T421" si="143">SUM(F420:J420)</f>
        <v>250</v>
      </c>
      <c r="U420" s="93">
        <f>SUM(K420:Q420)</f>
        <v>0</v>
      </c>
      <c r="V420" s="11">
        <f>SUM(T420:U420)-R420</f>
        <v>0</v>
      </c>
    </row>
    <row r="421" spans="1:22" ht="13.5" thickBot="1" x14ac:dyDescent="0.35">
      <c r="A421" t="s">
        <v>203</v>
      </c>
      <c r="B421">
        <v>12.3</v>
      </c>
      <c r="E421" s="8" t="s">
        <v>10</v>
      </c>
      <c r="F421" s="3">
        <f>15010+15800.11</f>
        <v>30810.11</v>
      </c>
      <c r="G421" s="3">
        <f>15010+15754.58</f>
        <v>30764.58</v>
      </c>
      <c r="H421" s="3">
        <f>15010+15709.05</f>
        <v>30719.05</v>
      </c>
      <c r="I421" s="3">
        <f>15010+15663.52</f>
        <v>30673.52</v>
      </c>
      <c r="J421" s="3">
        <f>15010+15617.99</f>
        <v>30627.989999999998</v>
      </c>
      <c r="K421" s="3">
        <f>15010+15572.46</f>
        <v>30582.46</v>
      </c>
      <c r="L421" s="3">
        <f>15010+15526.93</f>
        <v>30536.93</v>
      </c>
      <c r="M421" s="3">
        <f>15010+15481.4</f>
        <v>30491.4</v>
      </c>
      <c r="N421" s="3">
        <f>15010+15435.87</f>
        <v>30445.870000000003</v>
      </c>
      <c r="O421" s="118">
        <f>15010+15390.34</f>
        <v>30400.34</v>
      </c>
      <c r="P421" s="3">
        <f>15010+15344.81</f>
        <v>30354.809999999998</v>
      </c>
      <c r="Q421" s="3">
        <f>15013+15299.28</f>
        <v>30312.28</v>
      </c>
      <c r="R421" s="3">
        <f>SUM(F421:Q421)</f>
        <v>366719.33999999997</v>
      </c>
      <c r="T421" s="3">
        <f t="shared" si="143"/>
        <v>153595.25</v>
      </c>
      <c r="U421" s="94">
        <f>SUM(K421:Q421)</f>
        <v>213124.09</v>
      </c>
      <c r="V421" s="11">
        <f>SUM(T421:U421)-R421</f>
        <v>0</v>
      </c>
    </row>
    <row r="422" spans="1:22" ht="13.5" thickBot="1" x14ac:dyDescent="0.35">
      <c r="E422" s="13" t="s">
        <v>204</v>
      </c>
      <c r="F422" s="22">
        <f t="shared" ref="F422:R422" si="144">SUM(F419:F421)</f>
        <v>31060.11</v>
      </c>
      <c r="G422" s="22">
        <f t="shared" si="144"/>
        <v>30764.58</v>
      </c>
      <c r="H422" s="22">
        <f t="shared" si="144"/>
        <v>30719.05</v>
      </c>
      <c r="I422" s="22">
        <f t="shared" si="144"/>
        <v>30673.52</v>
      </c>
      <c r="J422" s="22">
        <f t="shared" si="144"/>
        <v>30627.989999999998</v>
      </c>
      <c r="K422" s="22">
        <f t="shared" si="144"/>
        <v>30582.46</v>
      </c>
      <c r="L422" s="22">
        <f t="shared" si="144"/>
        <v>30536.93</v>
      </c>
      <c r="M422" s="22">
        <f t="shared" si="144"/>
        <v>30491.4</v>
      </c>
      <c r="N422" s="22">
        <f t="shared" si="144"/>
        <v>30445.870000000003</v>
      </c>
      <c r="O422" s="119">
        <f t="shared" si="144"/>
        <v>30400.34</v>
      </c>
      <c r="P422" s="22">
        <f t="shared" si="144"/>
        <v>30354.809999999998</v>
      </c>
      <c r="Q422" s="22">
        <f t="shared" si="144"/>
        <v>30312.28</v>
      </c>
      <c r="R422" s="22">
        <f t="shared" si="144"/>
        <v>366969.33999999997</v>
      </c>
      <c r="T422" s="39">
        <f>SUM(T419:T421)</f>
        <v>153845.25</v>
      </c>
      <c r="U422" s="78">
        <f>SUM(U419:U421)</f>
        <v>213124.09</v>
      </c>
      <c r="V422" s="11">
        <f>SUM(T422:U422)-R422</f>
        <v>0</v>
      </c>
    </row>
    <row r="423" spans="1:22" x14ac:dyDescent="0.3">
      <c r="E423" s="15"/>
      <c r="O423" s="118"/>
    </row>
    <row r="424" spans="1:22" ht="15.5" x14ac:dyDescent="0.35">
      <c r="B424">
        <v>9</v>
      </c>
      <c r="C424" s="1">
        <f>C418+1</f>
        <v>45</v>
      </c>
      <c r="D424" s="24" t="s">
        <v>14</v>
      </c>
      <c r="E424" s="25" t="s">
        <v>205</v>
      </c>
      <c r="O424" s="118"/>
    </row>
    <row r="425" spans="1:22" x14ac:dyDescent="0.3">
      <c r="B425">
        <v>9.1</v>
      </c>
      <c r="E425" s="8" t="s">
        <v>8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f>IF($B$424=12,'payment summary to Trustee'!$AW425,('payment summary to Trustee'!$BD425-'CDE Intercept  '!$T425)/4)</f>
        <v>0</v>
      </c>
      <c r="L425" s="3">
        <f>IF($B$424=12,'payment summary to Trustee'!$AW425,('payment summary to Trustee'!$BD425-'CDE Intercept  '!$T425)/4)</f>
        <v>0</v>
      </c>
      <c r="M425" s="3">
        <f>IF($B$424=12,'payment summary to Trustee'!$AW425,('payment summary to Trustee'!$BD425-'CDE Intercept  '!$T425)/4)</f>
        <v>0</v>
      </c>
      <c r="N425" s="3">
        <v>0</v>
      </c>
      <c r="O425" s="118">
        <f>IF($B$424=12,'payment summary to Trustee'!$AW425,('payment summary to Trustee'!$BD425-'CDE Intercept  '!$T425)/4)</f>
        <v>0</v>
      </c>
      <c r="P425" s="3">
        <v>0</v>
      </c>
      <c r="Q425" s="3">
        <v>0</v>
      </c>
      <c r="R425" s="3">
        <f>SUM(F425:Q425)</f>
        <v>0</v>
      </c>
      <c r="T425" s="3">
        <f>SUM(F425:J425)</f>
        <v>0</v>
      </c>
      <c r="U425" s="93">
        <f>SUM(K425:Q425)</f>
        <v>0</v>
      </c>
      <c r="V425" s="11">
        <f>SUM(T425:U425)-R425</f>
        <v>0</v>
      </c>
    </row>
    <row r="426" spans="1:22" x14ac:dyDescent="0.3">
      <c r="B426">
        <v>9.1999999999999993</v>
      </c>
      <c r="E426" s="8" t="s">
        <v>9</v>
      </c>
      <c r="F426" s="3">
        <v>250</v>
      </c>
      <c r="G426" s="3">
        <v>0</v>
      </c>
      <c r="H426" s="3">
        <v>0</v>
      </c>
      <c r="I426" s="3">
        <v>0</v>
      </c>
      <c r="J426" s="3">
        <v>0</v>
      </c>
      <c r="K426" s="3">
        <f>IF($B$424=12,'payment summary to Trustee'!$AW426,('payment summary to Trustee'!$BD426-'CDE Intercept  '!$T426)/4)</f>
        <v>0</v>
      </c>
      <c r="L426" s="3">
        <f>IF($B$424=12,'payment summary to Trustee'!$AW426,('payment summary to Trustee'!$BD426-'CDE Intercept  '!$T426)/4)</f>
        <v>0</v>
      </c>
      <c r="M426" s="3">
        <f>IF($B$424=12,'payment summary to Trustee'!$AW426,('payment summary to Trustee'!$BD426-'CDE Intercept  '!$T426)/4)</f>
        <v>0</v>
      </c>
      <c r="N426" s="3">
        <v>0</v>
      </c>
      <c r="O426" s="118">
        <f>IF($B$424=12,'payment summary to Trustee'!$AW426,('payment summary to Trustee'!$BD426-'CDE Intercept  '!$T426)/4)</f>
        <v>0</v>
      </c>
      <c r="P426" s="3">
        <v>0</v>
      </c>
      <c r="Q426" s="3">
        <v>0</v>
      </c>
      <c r="R426" s="3">
        <f>SUM(F426:Q426)</f>
        <v>250</v>
      </c>
      <c r="T426" s="3">
        <f t="shared" ref="T426:T427" si="145">SUM(F426:J426)</f>
        <v>250</v>
      </c>
      <c r="U426" s="93">
        <f>SUM(K426:Q426)</f>
        <v>0</v>
      </c>
      <c r="V426" s="11">
        <f>SUM(T426:U426)-R426</f>
        <v>0</v>
      </c>
    </row>
    <row r="427" spans="1:22" ht="13.5" thickBot="1" x14ac:dyDescent="0.35">
      <c r="A427" t="s">
        <v>206</v>
      </c>
      <c r="B427">
        <v>9.3000000000000007</v>
      </c>
      <c r="E427" s="8" t="s">
        <v>10</v>
      </c>
      <c r="F427" s="3">
        <f>35416.67+117354.17</f>
        <v>152770.84</v>
      </c>
      <c r="G427" s="3">
        <f>35416.67+117354.17</f>
        <v>152770.84</v>
      </c>
      <c r="H427" s="3">
        <f>35416.67+117354.17</f>
        <v>152770.84</v>
      </c>
      <c r="I427" s="3">
        <f>35416.67+117354.17</f>
        <v>152770.84</v>
      </c>
      <c r="J427" s="3">
        <f>35416.67+117354.15</f>
        <v>152770.82</v>
      </c>
      <c r="K427" s="3">
        <f>IF($B$424=12,'payment summary to Trustee'!$AW427,('payment summary to Trustee'!$BD427-'CDE Intercept  '!$T427)/4)</f>
        <v>267322.91000000003</v>
      </c>
      <c r="L427" s="3">
        <f>IF($B$424=12,'payment summary to Trustee'!$AW427,('payment summary to Trustee'!$BD427-'CDE Intercept  '!$T427)/4)</f>
        <v>267322.91000000003</v>
      </c>
      <c r="M427" s="3">
        <f>IF($B$424=12,'payment summary to Trustee'!$AW427,('payment summary to Trustee'!$BD427-'CDE Intercept  '!$T427)/4)</f>
        <v>267322.91000000003</v>
      </c>
      <c r="N427" s="3">
        <v>0</v>
      </c>
      <c r="O427" s="118">
        <f>IF($B$424=12,'payment summary to Trustee'!$AW427,('payment summary to Trustee'!$BD427-'CDE Intercept  '!$T427)/4)</f>
        <v>267322.91000000003</v>
      </c>
      <c r="P427" s="3">
        <v>0</v>
      </c>
      <c r="Q427" s="3">
        <v>0</v>
      </c>
      <c r="R427" s="3">
        <f>SUM(F427:Q427)</f>
        <v>1833145.8200000003</v>
      </c>
      <c r="T427" s="3">
        <f t="shared" si="145"/>
        <v>763854.17999999993</v>
      </c>
      <c r="U427" s="94">
        <f>SUM(K427:Q427)</f>
        <v>1069291.6400000001</v>
      </c>
      <c r="V427" s="11">
        <f>SUM(T427:U427)-R427</f>
        <v>0</v>
      </c>
    </row>
    <row r="428" spans="1:22" ht="13.5" thickBot="1" x14ac:dyDescent="0.35">
      <c r="E428" s="13" t="s">
        <v>207</v>
      </c>
      <c r="F428" s="22">
        <f t="shared" ref="F428:R428" si="146">SUM(F425:F427)</f>
        <v>153020.84</v>
      </c>
      <c r="G428" s="22">
        <f t="shared" si="146"/>
        <v>152770.84</v>
      </c>
      <c r="H428" s="22">
        <f t="shared" si="146"/>
        <v>152770.84</v>
      </c>
      <c r="I428" s="22">
        <f t="shared" si="146"/>
        <v>152770.84</v>
      </c>
      <c r="J428" s="22">
        <f t="shared" si="146"/>
        <v>152770.82</v>
      </c>
      <c r="K428" s="22">
        <f t="shared" si="146"/>
        <v>267322.91000000003</v>
      </c>
      <c r="L428" s="22">
        <f t="shared" si="146"/>
        <v>267322.91000000003</v>
      </c>
      <c r="M428" s="22">
        <f t="shared" si="146"/>
        <v>267322.91000000003</v>
      </c>
      <c r="N428" s="22">
        <f t="shared" si="146"/>
        <v>0</v>
      </c>
      <c r="O428" s="119">
        <f>SUM(O425:O427)</f>
        <v>267322.91000000003</v>
      </c>
      <c r="P428" s="22">
        <f>SUM(P425:P427)</f>
        <v>0</v>
      </c>
      <c r="Q428" s="22">
        <f t="shared" si="146"/>
        <v>0</v>
      </c>
      <c r="R428" s="22">
        <f t="shared" si="146"/>
        <v>1833395.8200000003</v>
      </c>
      <c r="T428" s="39">
        <f>SUM(T425:T427)</f>
        <v>764104.17999999993</v>
      </c>
      <c r="U428" s="78">
        <f>SUM(U425:U427)</f>
        <v>1069291.6400000001</v>
      </c>
      <c r="V428" s="11">
        <f>SUM(T428:U428)-R428</f>
        <v>0</v>
      </c>
    </row>
    <row r="429" spans="1:22" x14ac:dyDescent="0.3">
      <c r="E429" s="15"/>
      <c r="O429" s="118"/>
    </row>
    <row r="430" spans="1:22" ht="15.5" x14ac:dyDescent="0.35">
      <c r="A430" s="33" t="s">
        <v>14</v>
      </c>
      <c r="B430">
        <v>9</v>
      </c>
      <c r="C430" s="1">
        <f>C424+1</f>
        <v>46</v>
      </c>
      <c r="D430" s="34" t="s">
        <v>208</v>
      </c>
      <c r="E430" s="25" t="s">
        <v>209</v>
      </c>
      <c r="O430" s="118"/>
    </row>
    <row r="431" spans="1:22" x14ac:dyDescent="0.3">
      <c r="B431">
        <v>9.1</v>
      </c>
      <c r="E431" s="8" t="s">
        <v>8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f>IF($B$430=12,'payment summary to Trustee'!$AW431,('payment summary to Trustee'!$BD431-'CDE Intercept  '!$T431)/4)</f>
        <v>0</v>
      </c>
      <c r="L431" s="3">
        <f>IF($B$430=12,'payment summary to Trustee'!$AW431,('payment summary to Trustee'!$BD431-'CDE Intercept  '!$T431)/4)</f>
        <v>0</v>
      </c>
      <c r="M431" s="3">
        <f>IF($B$430=12,'payment summary to Trustee'!$AW431,('payment summary to Trustee'!$BD431-'CDE Intercept  '!$T431)/4)</f>
        <v>0</v>
      </c>
      <c r="N431" s="3">
        <v>0</v>
      </c>
      <c r="O431" s="118">
        <f>IF($B$430=12,'payment summary to Trustee'!$AW431,('payment summary to Trustee'!$BD431-'CDE Intercept  '!$T431)/4)</f>
        <v>0</v>
      </c>
      <c r="P431" s="3">
        <v>0</v>
      </c>
      <c r="Q431" s="3">
        <v>0</v>
      </c>
      <c r="R431" s="3">
        <f>SUM(F431:Q431)</f>
        <v>0</v>
      </c>
      <c r="T431" s="3">
        <f>SUM(F431:J431)</f>
        <v>0</v>
      </c>
      <c r="U431" s="93">
        <f>SUM(K431:Q431)</f>
        <v>0</v>
      </c>
      <c r="V431" s="11">
        <f>SUM(T431:U431)-R431</f>
        <v>0</v>
      </c>
    </row>
    <row r="432" spans="1:22" x14ac:dyDescent="0.3">
      <c r="B432">
        <v>9.1999999999999993</v>
      </c>
      <c r="E432" s="8" t="s">
        <v>9</v>
      </c>
      <c r="F432" s="3">
        <v>74.319999999999993</v>
      </c>
      <c r="G432" s="3">
        <v>0</v>
      </c>
      <c r="H432" s="3">
        <v>0</v>
      </c>
      <c r="I432" s="3">
        <v>0</v>
      </c>
      <c r="J432" s="3">
        <v>0</v>
      </c>
      <c r="K432" s="3">
        <f>IF($B$430=12,'payment summary to Trustee'!$AW432,('payment summary to Trustee'!$BD432-'CDE Intercept  '!$T432)/4)</f>
        <v>0</v>
      </c>
      <c r="L432" s="3">
        <f>IF($B$430=12,'payment summary to Trustee'!$AW432,('payment summary to Trustee'!$BD432-'CDE Intercept  '!$T432)/4)</f>
        <v>0</v>
      </c>
      <c r="M432" s="3">
        <f>IF($B$430=12,'payment summary to Trustee'!$AW432,('payment summary to Trustee'!$BD432-'CDE Intercept  '!$T432)/4)</f>
        <v>0</v>
      </c>
      <c r="N432" s="3">
        <v>0</v>
      </c>
      <c r="O432" s="118">
        <f>IF($B$430=12,'payment summary to Trustee'!$AW432,('payment summary to Trustee'!$BD432-'CDE Intercept  '!$T432)/4)</f>
        <v>0</v>
      </c>
      <c r="P432" s="3">
        <v>0</v>
      </c>
      <c r="Q432" s="3">
        <v>0</v>
      </c>
      <c r="R432" s="3">
        <f>SUM(F432:Q432)</f>
        <v>74.319999999999993</v>
      </c>
      <c r="T432" s="3">
        <f t="shared" ref="T432:T433" si="147">SUM(F432:J432)</f>
        <v>74.319999999999993</v>
      </c>
      <c r="U432" s="93">
        <f>SUM(K432:Q432)</f>
        <v>0</v>
      </c>
      <c r="V432" s="11">
        <f>SUM(T432:U432)-R432</f>
        <v>0</v>
      </c>
    </row>
    <row r="433" spans="1:22" ht="13.5" thickBot="1" x14ac:dyDescent="0.35">
      <c r="A433" t="s">
        <v>210</v>
      </c>
      <c r="B433">
        <v>9.3000000000000007</v>
      </c>
      <c r="E433" s="8" t="s">
        <v>10</v>
      </c>
      <c r="F433" s="3">
        <v>20913.07</v>
      </c>
      <c r="G433" s="3">
        <v>20838.75</v>
      </c>
      <c r="H433" s="3">
        <v>20838.75</v>
      </c>
      <c r="I433" s="3">
        <v>20838.740000000002</v>
      </c>
      <c r="J433" s="3">
        <v>20838.740000000002</v>
      </c>
      <c r="K433" s="3">
        <f>IF($B$430=12,'payment summary to Trustee'!$AW433,('payment summary to Trustee'!$BD433-'CDE Intercept  '!$T433)/4)</f>
        <v>36467.507499999992</v>
      </c>
      <c r="L433" s="3">
        <f>IF($B$430=12,'payment summary to Trustee'!$AW433,('payment summary to Trustee'!$BD433-'CDE Intercept  '!$T433)/4)</f>
        <v>36467.507499999992</v>
      </c>
      <c r="M433" s="3">
        <f>IF($B$430=12,'payment summary to Trustee'!$AW433,('payment summary to Trustee'!$BD433-'CDE Intercept  '!$T433)/4)</f>
        <v>36467.507499999992</v>
      </c>
      <c r="N433" s="3">
        <v>0</v>
      </c>
      <c r="O433" s="118">
        <f>IF($B$430=12,'payment summary to Trustee'!$AW433,('payment summary to Trustee'!$BD433-'CDE Intercept  '!$T433)/4)</f>
        <v>36467.507499999992</v>
      </c>
      <c r="P433" s="3">
        <v>0</v>
      </c>
      <c r="Q433" s="3">
        <v>0</v>
      </c>
      <c r="R433" s="3">
        <f>SUM(F433:Q433)</f>
        <v>250138.08000000002</v>
      </c>
      <c r="T433" s="3">
        <f t="shared" si="147"/>
        <v>104268.05</v>
      </c>
      <c r="U433" s="94">
        <f>SUM(K433:Q433)</f>
        <v>145870.02999999997</v>
      </c>
      <c r="V433" s="11">
        <f>SUM(T433:U433)-R433</f>
        <v>0</v>
      </c>
    </row>
    <row r="434" spans="1:22" ht="13.5" thickBot="1" x14ac:dyDescent="0.35">
      <c r="E434" s="13" t="s">
        <v>211</v>
      </c>
      <c r="F434" s="22">
        <f t="shared" ref="F434:R434" si="148">SUM(F431:F433)</f>
        <v>20987.39</v>
      </c>
      <c r="G434" s="22">
        <f t="shared" si="148"/>
        <v>20838.75</v>
      </c>
      <c r="H434" s="22">
        <f t="shared" si="148"/>
        <v>20838.75</v>
      </c>
      <c r="I434" s="22">
        <f t="shared" si="148"/>
        <v>20838.740000000002</v>
      </c>
      <c r="J434" s="22">
        <f t="shared" si="148"/>
        <v>20838.740000000002</v>
      </c>
      <c r="K434" s="22">
        <f t="shared" si="148"/>
        <v>36467.507499999992</v>
      </c>
      <c r="L434" s="22">
        <f t="shared" si="148"/>
        <v>36467.507499999992</v>
      </c>
      <c r="M434" s="22">
        <f t="shared" si="148"/>
        <v>36467.507499999992</v>
      </c>
      <c r="N434" s="22">
        <f t="shared" si="148"/>
        <v>0</v>
      </c>
      <c r="O434" s="119">
        <f t="shared" si="148"/>
        <v>36467.507499999992</v>
      </c>
      <c r="P434" s="22">
        <f t="shared" ref="P434" si="149">SUM(P431:P433)</f>
        <v>0</v>
      </c>
      <c r="Q434" s="22">
        <f t="shared" si="148"/>
        <v>0</v>
      </c>
      <c r="R434" s="22">
        <f t="shared" si="148"/>
        <v>250212.40000000002</v>
      </c>
      <c r="T434" s="39">
        <f>SUM(T431:T433)</f>
        <v>104342.37000000001</v>
      </c>
      <c r="U434" s="78">
        <f>SUM(U431:U433)</f>
        <v>145870.02999999997</v>
      </c>
      <c r="V434" s="11">
        <f>SUM(T434:U434)-R434</f>
        <v>0</v>
      </c>
    </row>
    <row r="435" spans="1:22" x14ac:dyDescent="0.3">
      <c r="E435" s="15"/>
      <c r="O435" s="118"/>
    </row>
    <row r="436" spans="1:22" ht="15.5" x14ac:dyDescent="0.35">
      <c r="A436" s="33" t="s">
        <v>14</v>
      </c>
      <c r="B436">
        <v>9</v>
      </c>
      <c r="C436" s="1">
        <f>C430</f>
        <v>46</v>
      </c>
      <c r="D436" s="34" t="s">
        <v>212</v>
      </c>
      <c r="E436" s="25" t="s">
        <v>213</v>
      </c>
      <c r="O436" s="118"/>
    </row>
    <row r="437" spans="1:22" x14ac:dyDescent="0.3">
      <c r="B437">
        <v>9.1</v>
      </c>
      <c r="E437" s="8" t="s">
        <v>8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f>IF($B$436=12,'payment summary to Trustee'!$AW437,('payment summary to Trustee'!$BD437-'CDE Intercept  '!$T437)/4)</f>
        <v>0</v>
      </c>
      <c r="L437" s="3">
        <f>IF($B$436=12,'payment summary to Trustee'!$AW437,('payment summary to Trustee'!$BD437-'CDE Intercept  '!$T437)/4)</f>
        <v>0</v>
      </c>
      <c r="M437" s="3">
        <f>IF($B$436=12,'payment summary to Trustee'!$AW437,('payment summary to Trustee'!$BD437-'CDE Intercept  '!$T437)/4)</f>
        <v>0</v>
      </c>
      <c r="N437" s="3">
        <v>0</v>
      </c>
      <c r="O437" s="118">
        <f>IF($B$436=12,'payment summary to Trustee'!$AW437,('payment summary to Trustee'!$BD437-'CDE Intercept  '!$T437)/4)</f>
        <v>0</v>
      </c>
      <c r="P437" s="3">
        <v>0</v>
      </c>
      <c r="Q437" s="3">
        <v>0</v>
      </c>
      <c r="R437" s="3">
        <f>SUM(F437:Q437)</f>
        <v>0</v>
      </c>
      <c r="T437" s="3">
        <f>SUM(F437:J437)</f>
        <v>0</v>
      </c>
      <c r="U437" s="93">
        <f>SUM(K437:Q437)</f>
        <v>0</v>
      </c>
      <c r="V437" s="11">
        <f>SUM(T437:U437)-R437</f>
        <v>0</v>
      </c>
    </row>
    <row r="438" spans="1:22" x14ac:dyDescent="0.3">
      <c r="B438">
        <v>9.1999999999999993</v>
      </c>
      <c r="E438" s="8" t="s">
        <v>9</v>
      </c>
      <c r="F438" s="3">
        <v>77.7</v>
      </c>
      <c r="G438" s="3">
        <v>0</v>
      </c>
      <c r="H438" s="3">
        <v>0</v>
      </c>
      <c r="I438" s="3">
        <v>0</v>
      </c>
      <c r="J438" s="3">
        <v>0</v>
      </c>
      <c r="K438" s="3">
        <f>IF($B$436=12,'payment summary to Trustee'!$AW438,('payment summary to Trustee'!$BD438-'CDE Intercept  '!$T438)/4)</f>
        <v>0</v>
      </c>
      <c r="L438" s="3">
        <f>IF($B$436=12,'payment summary to Trustee'!$AW438,('payment summary to Trustee'!$BD438-'CDE Intercept  '!$T438)/4)</f>
        <v>0</v>
      </c>
      <c r="M438" s="3">
        <f>IF($B$436=12,'payment summary to Trustee'!$AW438,('payment summary to Trustee'!$BD438-'CDE Intercept  '!$T438)/4)</f>
        <v>0</v>
      </c>
      <c r="N438" s="3">
        <v>0</v>
      </c>
      <c r="O438" s="118">
        <f>IF($B$436=12,'payment summary to Trustee'!$AW438,('payment summary to Trustee'!$BD438-'CDE Intercept  '!$T438)/4)</f>
        <v>0</v>
      </c>
      <c r="P438" s="3">
        <v>0</v>
      </c>
      <c r="Q438" s="3">
        <v>0</v>
      </c>
      <c r="R438" s="3">
        <f>SUM(F438:Q438)</f>
        <v>77.7</v>
      </c>
      <c r="T438" s="3">
        <f t="shared" ref="T438:T439" si="150">SUM(F438:J438)</f>
        <v>77.7</v>
      </c>
      <c r="U438" s="93">
        <f>SUM(K438:Q438)</f>
        <v>0</v>
      </c>
      <c r="V438" s="11">
        <f>SUM(T438:U438)-R438</f>
        <v>0</v>
      </c>
    </row>
    <row r="439" spans="1:22" ht="13.5" thickBot="1" x14ac:dyDescent="0.35">
      <c r="A439" t="s">
        <v>210</v>
      </c>
      <c r="B439">
        <v>9.3000000000000007</v>
      </c>
      <c r="E439" s="8" t="s">
        <v>10</v>
      </c>
      <c r="F439" s="3">
        <v>21862.7</v>
      </c>
      <c r="G439" s="3">
        <v>21785</v>
      </c>
      <c r="H439" s="3">
        <v>21785</v>
      </c>
      <c r="I439" s="3">
        <v>21785.01</v>
      </c>
      <c r="J439" s="3">
        <v>21785.01</v>
      </c>
      <c r="K439" s="3">
        <f>IF($B$436=12,'payment summary to Trustee'!$AW439,('payment summary to Trustee'!$BD439-'CDE Intercept  '!$T439)/4)</f>
        <v>38123.449999999997</v>
      </c>
      <c r="L439" s="3">
        <f>IF($B$436=12,'payment summary to Trustee'!$AW439,('payment summary to Trustee'!$BD439-'CDE Intercept  '!$T439)/4)</f>
        <v>38123.449999999997</v>
      </c>
      <c r="M439" s="3">
        <f>IF($B$436=12,'payment summary to Trustee'!$AW439,('payment summary to Trustee'!$BD439-'CDE Intercept  '!$T439)/4)</f>
        <v>38123.449999999997</v>
      </c>
      <c r="N439" s="3">
        <v>0</v>
      </c>
      <c r="O439" s="118">
        <f>IF($B$436=12,'payment summary to Trustee'!$AW439,('payment summary to Trustee'!$BD439-'CDE Intercept  '!$T439)/4)</f>
        <v>38123.449999999997</v>
      </c>
      <c r="P439" s="3">
        <v>0</v>
      </c>
      <c r="Q439" s="3">
        <v>0</v>
      </c>
      <c r="R439" s="3">
        <f>SUM(F439:Q439)</f>
        <v>261496.52000000002</v>
      </c>
      <c r="T439" s="3">
        <f t="shared" si="150"/>
        <v>109002.71999999999</v>
      </c>
      <c r="U439" s="94">
        <f>SUM(K439:Q439)</f>
        <v>152493.79999999999</v>
      </c>
      <c r="V439" s="11">
        <f>SUM(T439:U439)-R439</f>
        <v>0</v>
      </c>
    </row>
    <row r="440" spans="1:22" ht="13.5" thickBot="1" x14ac:dyDescent="0.35">
      <c r="E440" s="13" t="s">
        <v>214</v>
      </c>
      <c r="F440" s="22">
        <f t="shared" ref="F440:R440" si="151">SUM(F437:F439)</f>
        <v>21940.400000000001</v>
      </c>
      <c r="G440" s="22">
        <f t="shared" si="151"/>
        <v>21785</v>
      </c>
      <c r="H440" s="22">
        <f t="shared" si="151"/>
        <v>21785</v>
      </c>
      <c r="I440" s="22">
        <f t="shared" si="151"/>
        <v>21785.01</v>
      </c>
      <c r="J440" s="22">
        <f t="shared" si="151"/>
        <v>21785.01</v>
      </c>
      <c r="K440" s="22">
        <f t="shared" si="151"/>
        <v>38123.449999999997</v>
      </c>
      <c r="L440" s="22">
        <f t="shared" si="151"/>
        <v>38123.449999999997</v>
      </c>
      <c r="M440" s="22">
        <f t="shared" si="151"/>
        <v>38123.449999999997</v>
      </c>
      <c r="N440" s="22">
        <f t="shared" si="151"/>
        <v>0</v>
      </c>
      <c r="O440" s="119">
        <f t="shared" si="151"/>
        <v>38123.449999999997</v>
      </c>
      <c r="P440" s="22">
        <f t="shared" ref="P440" si="152">SUM(P437:P439)</f>
        <v>0</v>
      </c>
      <c r="Q440" s="22">
        <f t="shared" si="151"/>
        <v>0</v>
      </c>
      <c r="R440" s="22">
        <f t="shared" si="151"/>
        <v>261574.22000000003</v>
      </c>
      <c r="T440" s="39">
        <f>SUM(T437:T439)</f>
        <v>109080.41999999998</v>
      </c>
      <c r="U440" s="78">
        <f>SUM(U437:U439)</f>
        <v>152493.79999999999</v>
      </c>
      <c r="V440" s="11">
        <f>SUM(T440:U440)-R440</f>
        <v>0</v>
      </c>
    </row>
    <row r="441" spans="1:22" x14ac:dyDescent="0.3">
      <c r="E441" s="15"/>
      <c r="O441" s="118"/>
    </row>
    <row r="442" spans="1:22" ht="15.5" x14ac:dyDescent="0.35">
      <c r="A442" s="33" t="s">
        <v>14</v>
      </c>
      <c r="B442">
        <v>9</v>
      </c>
      <c r="C442" s="1">
        <f>C430</f>
        <v>46</v>
      </c>
      <c r="D442" s="34" t="s">
        <v>215</v>
      </c>
      <c r="E442" s="25" t="s">
        <v>216</v>
      </c>
      <c r="O442" s="118"/>
    </row>
    <row r="443" spans="1:22" x14ac:dyDescent="0.3">
      <c r="B443">
        <v>9.1</v>
      </c>
      <c r="E443" s="8" t="s">
        <v>8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f>IF($B$442=12,'payment summary to Trustee'!$AW443,('payment summary to Trustee'!$BD443-'CDE Intercept  '!$T443)/4)</f>
        <v>0</v>
      </c>
      <c r="L443" s="3">
        <f>IF($B$442=12,'payment summary to Trustee'!$AW443,('payment summary to Trustee'!$BD443-'CDE Intercept  '!$T443)/4)</f>
        <v>0</v>
      </c>
      <c r="M443" s="3">
        <f>IF($B$442=12,'payment summary to Trustee'!$AW443,('payment summary to Trustee'!$BD443-'CDE Intercept  '!$T443)/4)</f>
        <v>0</v>
      </c>
      <c r="N443" s="3">
        <v>0</v>
      </c>
      <c r="O443" s="118">
        <f>IF($B$442=12,'payment summary to Trustee'!$AW443,('payment summary to Trustee'!$BD443-'CDE Intercept  '!$T443)/4)</f>
        <v>0</v>
      </c>
      <c r="P443" s="3">
        <v>0</v>
      </c>
      <c r="Q443" s="3">
        <v>0</v>
      </c>
      <c r="R443" s="3">
        <f>SUM(F443:Q443)</f>
        <v>0</v>
      </c>
      <c r="T443" s="3">
        <f>SUM(F443:J443)</f>
        <v>0</v>
      </c>
      <c r="U443" s="93">
        <f>SUM(K443:Q443)</f>
        <v>0</v>
      </c>
      <c r="V443" s="11">
        <f>SUM(T443:U443)-R443</f>
        <v>0</v>
      </c>
    </row>
    <row r="444" spans="1:22" x14ac:dyDescent="0.3">
      <c r="B444">
        <v>9.1999999999999993</v>
      </c>
      <c r="E444" s="8" t="s">
        <v>9</v>
      </c>
      <c r="F444" s="3">
        <v>97.98</v>
      </c>
      <c r="G444" s="3">
        <v>0</v>
      </c>
      <c r="H444" s="3">
        <v>0</v>
      </c>
      <c r="I444" s="3">
        <v>0</v>
      </c>
      <c r="J444" s="3">
        <v>0</v>
      </c>
      <c r="K444" s="3">
        <f>IF($B$442=12,'payment summary to Trustee'!$AW444,('payment summary to Trustee'!$BD444-'CDE Intercept  '!$T444)/4)</f>
        <v>0</v>
      </c>
      <c r="L444" s="3">
        <f>IF($B$442=12,'payment summary to Trustee'!$AW444,('payment summary to Trustee'!$BD444-'CDE Intercept  '!$T444)/4)</f>
        <v>0</v>
      </c>
      <c r="M444" s="3">
        <f>IF($B$442=12,'payment summary to Trustee'!$AW444,('payment summary to Trustee'!$BD444-'CDE Intercept  '!$T444)/4)</f>
        <v>0</v>
      </c>
      <c r="N444" s="3">
        <v>0</v>
      </c>
      <c r="O444" s="118">
        <f>IF($B$442=12,'payment summary to Trustee'!$AW444,('payment summary to Trustee'!$BD444-'CDE Intercept  '!$T444)/4)</f>
        <v>0</v>
      </c>
      <c r="P444" s="3">
        <v>0</v>
      </c>
      <c r="Q444" s="3">
        <v>0</v>
      </c>
      <c r="R444" s="3">
        <f>SUM(F444:Q444)</f>
        <v>97.98</v>
      </c>
      <c r="T444" s="3">
        <f t="shared" ref="T444:T445" si="153">SUM(F444:J444)</f>
        <v>97.98</v>
      </c>
      <c r="U444" s="93">
        <f>SUM(K444:Q444)</f>
        <v>0</v>
      </c>
      <c r="V444" s="11">
        <f>SUM(T444:U444)-R444</f>
        <v>0</v>
      </c>
    </row>
    <row r="445" spans="1:22" ht="13.5" thickBot="1" x14ac:dyDescent="0.35">
      <c r="A445" t="s">
        <v>210</v>
      </c>
      <c r="B445">
        <v>9.3000000000000007</v>
      </c>
      <c r="E445" s="8" t="s">
        <v>10</v>
      </c>
      <c r="F445" s="3">
        <v>27567.55</v>
      </c>
      <c r="G445" s="3">
        <v>27469.57</v>
      </c>
      <c r="H445" s="3">
        <v>27469.57</v>
      </c>
      <c r="I445" s="3">
        <v>27469.58</v>
      </c>
      <c r="J445" s="3">
        <v>27469.58</v>
      </c>
      <c r="K445" s="3">
        <f>IF($B$442=12,'payment summary to Trustee'!$AW445,('payment summary to Trustee'!$BD445-'CDE Intercept  '!$T445)/4)</f>
        <v>48071.357500000006</v>
      </c>
      <c r="L445" s="3">
        <f>IF($B$442=12,'payment summary to Trustee'!$AW445,('payment summary to Trustee'!$BD445-'CDE Intercept  '!$T445)/4)</f>
        <v>48071.357500000006</v>
      </c>
      <c r="M445" s="3">
        <f>IF($B$442=12,'payment summary to Trustee'!$AW445,('payment summary to Trustee'!$BD445-'CDE Intercept  '!$T445)/4)</f>
        <v>48071.357500000006</v>
      </c>
      <c r="N445" s="3">
        <v>0</v>
      </c>
      <c r="O445" s="118">
        <f>IF($B$442=12,'payment summary to Trustee'!$AW445,('payment summary to Trustee'!$BD445-'CDE Intercept  '!$T445)/4)</f>
        <v>48071.357500000006</v>
      </c>
      <c r="P445" s="3">
        <v>0</v>
      </c>
      <c r="Q445" s="3">
        <v>0</v>
      </c>
      <c r="R445" s="3">
        <f>SUM(F445:Q445)</f>
        <v>329731.28000000003</v>
      </c>
      <c r="T445" s="3">
        <f t="shared" si="153"/>
        <v>137445.85</v>
      </c>
      <c r="U445" s="94">
        <f>SUM(K445:Q445)</f>
        <v>192285.43000000002</v>
      </c>
      <c r="V445" s="11">
        <f>SUM(T445:U445)-R445</f>
        <v>0</v>
      </c>
    </row>
    <row r="446" spans="1:22" ht="13.5" thickBot="1" x14ac:dyDescent="0.35">
      <c r="E446" s="13" t="s">
        <v>217</v>
      </c>
      <c r="F446" s="22">
        <f t="shared" ref="F446:R446" si="154">SUM(F443:F445)</f>
        <v>27665.53</v>
      </c>
      <c r="G446" s="22">
        <f t="shared" si="154"/>
        <v>27469.57</v>
      </c>
      <c r="H446" s="22">
        <f t="shared" si="154"/>
        <v>27469.57</v>
      </c>
      <c r="I446" s="22">
        <f t="shared" si="154"/>
        <v>27469.58</v>
      </c>
      <c r="J446" s="22">
        <f t="shared" si="154"/>
        <v>27469.58</v>
      </c>
      <c r="K446" s="22">
        <f t="shared" si="154"/>
        <v>48071.357500000006</v>
      </c>
      <c r="L446" s="22">
        <f t="shared" si="154"/>
        <v>48071.357500000006</v>
      </c>
      <c r="M446" s="22">
        <f t="shared" si="154"/>
        <v>48071.357500000006</v>
      </c>
      <c r="N446" s="22">
        <f t="shared" si="154"/>
        <v>0</v>
      </c>
      <c r="O446" s="119">
        <f t="shared" si="154"/>
        <v>48071.357500000006</v>
      </c>
      <c r="P446" s="22">
        <f t="shared" si="154"/>
        <v>0</v>
      </c>
      <c r="Q446" s="22">
        <f t="shared" si="154"/>
        <v>0</v>
      </c>
      <c r="R446" s="22">
        <f t="shared" si="154"/>
        <v>329829.26</v>
      </c>
      <c r="T446" s="39">
        <f>SUM(T443:T445)</f>
        <v>137543.83000000002</v>
      </c>
      <c r="U446" s="78">
        <f>SUM(U443:U445)</f>
        <v>192285.43000000002</v>
      </c>
      <c r="V446" s="11">
        <f>SUM(T446:U446)-R446</f>
        <v>0</v>
      </c>
    </row>
    <row r="447" spans="1:22" x14ac:dyDescent="0.3">
      <c r="E447" s="15"/>
      <c r="O447" s="118"/>
    </row>
    <row r="448" spans="1:22" ht="15.5" x14ac:dyDescent="0.35">
      <c r="A448" s="97" t="s">
        <v>929</v>
      </c>
      <c r="B448" s="103">
        <v>9</v>
      </c>
      <c r="C448" s="1">
        <f>C430+1</f>
        <v>47</v>
      </c>
      <c r="D448" s="34" t="s">
        <v>14</v>
      </c>
      <c r="E448" s="104" t="s">
        <v>218</v>
      </c>
      <c r="O448" s="118"/>
    </row>
    <row r="449" spans="1:22" x14ac:dyDescent="0.3">
      <c r="A449" s="97" t="s">
        <v>930</v>
      </c>
      <c r="B449" s="103">
        <v>9.1</v>
      </c>
      <c r="E449" s="8" t="s">
        <v>8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118">
        <v>0</v>
      </c>
      <c r="P449" s="3">
        <v>0</v>
      </c>
      <c r="Q449" s="3">
        <v>0</v>
      </c>
      <c r="R449" s="3">
        <f>SUM(F449:Q449)</f>
        <v>0</v>
      </c>
      <c r="T449" s="3">
        <f>SUM(F449:J449)</f>
        <v>0</v>
      </c>
      <c r="U449" s="93">
        <f>SUM(K449:Q449)</f>
        <v>0</v>
      </c>
      <c r="V449" s="11">
        <f>SUM(T449:U449)-R449</f>
        <v>0</v>
      </c>
    </row>
    <row r="450" spans="1:22" x14ac:dyDescent="0.3">
      <c r="B450" s="103">
        <v>9.1999999999999993</v>
      </c>
      <c r="E450" s="8" t="s">
        <v>9</v>
      </c>
      <c r="F450" s="3">
        <v>250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118">
        <v>0</v>
      </c>
      <c r="P450" s="3">
        <v>0</v>
      </c>
      <c r="Q450" s="3">
        <v>0</v>
      </c>
      <c r="R450" s="3">
        <f>SUM(F450:Q450)</f>
        <v>250</v>
      </c>
      <c r="T450" s="3">
        <f t="shared" ref="T450:T451" si="155">SUM(F450:J450)</f>
        <v>250</v>
      </c>
      <c r="U450" s="93">
        <f>SUM(K450:Q450)</f>
        <v>0</v>
      </c>
      <c r="V450" s="11">
        <f>SUM(T450:U450)-R450</f>
        <v>0</v>
      </c>
    </row>
    <row r="451" spans="1:22" ht="13.5" thickBot="1" x14ac:dyDescent="0.35">
      <c r="A451" t="s">
        <v>219</v>
      </c>
      <c r="B451" s="103">
        <v>9.3000000000000007</v>
      </c>
      <c r="E451" s="8" t="s">
        <v>10</v>
      </c>
      <c r="F451" s="3">
        <f>8690+14676</f>
        <v>23366</v>
      </c>
      <c r="G451" s="3">
        <f>8718+14648</f>
        <v>23366</v>
      </c>
      <c r="H451" s="3">
        <f>8747+14619</f>
        <v>23366</v>
      </c>
      <c r="I451" s="3">
        <f>8776+14590</f>
        <v>23366</v>
      </c>
      <c r="J451" s="3">
        <f>8805+14561</f>
        <v>23366</v>
      </c>
      <c r="K451" s="3">
        <f>8834+14532</f>
        <v>23366</v>
      </c>
      <c r="L451" s="3">
        <f>8863+14503</f>
        <v>23366</v>
      </c>
      <c r="M451" s="3">
        <f>8892+14474</f>
        <v>23366</v>
      </c>
      <c r="N451" s="3">
        <v>0</v>
      </c>
      <c r="O451" s="118">
        <f>23366+23367+23366+23367</f>
        <v>93466</v>
      </c>
      <c r="P451" s="3">
        <v>0</v>
      </c>
      <c r="Q451" s="3">
        <v>0</v>
      </c>
      <c r="R451" s="3">
        <f>SUM(F451:Q451)</f>
        <v>280394</v>
      </c>
      <c r="T451" s="3">
        <f t="shared" si="155"/>
        <v>116830</v>
      </c>
      <c r="U451" s="94">
        <f>SUM(K451:Q451)</f>
        <v>163564</v>
      </c>
      <c r="V451" s="11">
        <f>SUM(T451:U451)-R451</f>
        <v>0</v>
      </c>
    </row>
    <row r="452" spans="1:22" ht="13.5" thickBot="1" x14ac:dyDescent="0.35">
      <c r="E452" s="13" t="s">
        <v>220</v>
      </c>
      <c r="F452" s="22">
        <f t="shared" ref="F452:R452" si="156">SUM(F449:F451)</f>
        <v>23616</v>
      </c>
      <c r="G452" s="22">
        <f t="shared" si="156"/>
        <v>23366</v>
      </c>
      <c r="H452" s="22">
        <f t="shared" si="156"/>
        <v>23366</v>
      </c>
      <c r="I452" s="22">
        <f t="shared" si="156"/>
        <v>23366</v>
      </c>
      <c r="J452" s="22">
        <f t="shared" si="156"/>
        <v>23366</v>
      </c>
      <c r="K452" s="22">
        <f t="shared" si="156"/>
        <v>23366</v>
      </c>
      <c r="L452" s="22">
        <f t="shared" si="156"/>
        <v>23366</v>
      </c>
      <c r="M452" s="22">
        <f t="shared" si="156"/>
        <v>23366</v>
      </c>
      <c r="N452" s="22">
        <f t="shared" si="156"/>
        <v>0</v>
      </c>
      <c r="O452" s="119">
        <f t="shared" si="156"/>
        <v>93466</v>
      </c>
      <c r="P452" s="22">
        <f t="shared" si="156"/>
        <v>0</v>
      </c>
      <c r="Q452" s="22">
        <f t="shared" si="156"/>
        <v>0</v>
      </c>
      <c r="R452" s="22">
        <f t="shared" si="156"/>
        <v>280644</v>
      </c>
      <c r="T452" s="39">
        <f>SUM(T449:T451)</f>
        <v>117080</v>
      </c>
      <c r="U452" s="78">
        <f>SUM(U449:U451)</f>
        <v>163564</v>
      </c>
      <c r="V452" s="11">
        <f>SUM(T452:U452)-R452</f>
        <v>0</v>
      </c>
    </row>
    <row r="453" spans="1:22" x14ac:dyDescent="0.3">
      <c r="E453" s="15"/>
      <c r="O453" s="118"/>
    </row>
    <row r="454" spans="1:22" ht="15.5" x14ac:dyDescent="0.35">
      <c r="B454">
        <v>9</v>
      </c>
      <c r="C454" s="1">
        <f>C448+1</f>
        <v>48</v>
      </c>
      <c r="D454" s="34" t="s">
        <v>14</v>
      </c>
      <c r="E454" s="25" t="s">
        <v>221</v>
      </c>
      <c r="O454" s="118"/>
    </row>
    <row r="455" spans="1:22" x14ac:dyDescent="0.3">
      <c r="B455">
        <v>9.1</v>
      </c>
      <c r="E455" s="8" t="s">
        <v>8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f>IF($B$454=12,'payment summary to Trustee'!$AW455,('payment summary to Trustee'!$BD455-'CDE Intercept  '!$T455)/4)</f>
        <v>0</v>
      </c>
      <c r="L455" s="3">
        <f>IF($B$454=12,'payment summary to Trustee'!$AW455,('payment summary to Trustee'!$BD455-'CDE Intercept  '!$T455)/4)</f>
        <v>0</v>
      </c>
      <c r="M455" s="3">
        <f>IF($B$454=12,'payment summary to Trustee'!$AW455,('payment summary to Trustee'!$BD455-'CDE Intercept  '!$T455)/4)</f>
        <v>0</v>
      </c>
      <c r="N455" s="3">
        <v>0</v>
      </c>
      <c r="O455" s="118">
        <f>IF($B$454=12,'payment summary to Trustee'!$AW455,('payment summary to Trustee'!$BD455-'CDE Intercept  '!$T455)/4)</f>
        <v>0</v>
      </c>
      <c r="P455" s="3">
        <v>0</v>
      </c>
      <c r="Q455" s="3">
        <v>0</v>
      </c>
      <c r="R455" s="3">
        <f>SUM(F455:Q455)</f>
        <v>0</v>
      </c>
      <c r="T455" s="3">
        <f>SUM(F455:J455)</f>
        <v>0</v>
      </c>
      <c r="U455" s="93">
        <f>SUM(K455:Q455)</f>
        <v>0</v>
      </c>
      <c r="V455" s="11">
        <f>SUM(T455:U455)-R455</f>
        <v>0</v>
      </c>
    </row>
    <row r="456" spans="1:22" x14ac:dyDescent="0.3">
      <c r="B456">
        <v>9.1999999999999993</v>
      </c>
      <c r="E456" s="8" t="s">
        <v>9</v>
      </c>
      <c r="F456" s="3">
        <v>250</v>
      </c>
      <c r="G456" s="3">
        <v>0</v>
      </c>
      <c r="H456" s="3">
        <v>0</v>
      </c>
      <c r="I456" s="3">
        <v>0</v>
      </c>
      <c r="J456" s="3">
        <v>0</v>
      </c>
      <c r="K456" s="3">
        <f>IF($B$454=12,'payment summary to Trustee'!$AW456,('payment summary to Trustee'!$BD456-'CDE Intercept  '!$T456)/4)</f>
        <v>0</v>
      </c>
      <c r="L456" s="3">
        <f>IF($B$454=12,'payment summary to Trustee'!$AW456,('payment summary to Trustee'!$BD456-'CDE Intercept  '!$T456)/4)</f>
        <v>0</v>
      </c>
      <c r="M456" s="3">
        <f>IF($B$454=12,'payment summary to Trustee'!$AW456,('payment summary to Trustee'!$BD456-'CDE Intercept  '!$T456)/4)</f>
        <v>0</v>
      </c>
      <c r="N456" s="3">
        <v>0</v>
      </c>
      <c r="O456" s="118">
        <f>IF($B$454=12,'payment summary to Trustee'!$AW456,('payment summary to Trustee'!$BD456-'CDE Intercept  '!$T456)/4)</f>
        <v>0</v>
      </c>
      <c r="P456" s="3">
        <v>0</v>
      </c>
      <c r="Q456" s="3">
        <v>0</v>
      </c>
      <c r="R456" s="3">
        <f>SUM(F456:Q456)</f>
        <v>250</v>
      </c>
      <c r="T456" s="3">
        <f t="shared" ref="T456:T457" si="157">SUM(F456:J456)</f>
        <v>250</v>
      </c>
      <c r="U456" s="93">
        <f>SUM(K456:Q456)</f>
        <v>0</v>
      </c>
      <c r="V456" s="11">
        <f>SUM(T456:U456)-R456</f>
        <v>0</v>
      </c>
    </row>
    <row r="457" spans="1:22" ht="13.5" thickBot="1" x14ac:dyDescent="0.35">
      <c r="A457" t="s">
        <v>222</v>
      </c>
      <c r="B457">
        <v>9.3000000000000007</v>
      </c>
      <c r="E457" s="8" t="s">
        <v>10</v>
      </c>
      <c r="F457" s="3">
        <f>8690+14676</f>
        <v>23366</v>
      </c>
      <c r="G457" s="3">
        <f>8718+14648</f>
        <v>23366</v>
      </c>
      <c r="H457" s="3">
        <f>8747+14619</f>
        <v>23366</v>
      </c>
      <c r="I457" s="3">
        <f>8776+14590</f>
        <v>23366</v>
      </c>
      <c r="J457" s="3">
        <f>8805+14561</f>
        <v>23366</v>
      </c>
      <c r="K457" s="3">
        <f>IF($B$454=12,'payment summary to Trustee'!$AW457,('payment summary to Trustee'!$BD457-'CDE Intercept  '!$T457)/4)</f>
        <v>40891</v>
      </c>
      <c r="L457" s="3">
        <f>IF($B$454=12,'payment summary to Trustee'!$AW457,('payment summary to Trustee'!$BD457-'CDE Intercept  '!$T457)/4)</f>
        <v>40891</v>
      </c>
      <c r="M457" s="3">
        <f>IF($B$454=12,'payment summary to Trustee'!$AW457,('payment summary to Trustee'!$BD457-'CDE Intercept  '!$T457)/4)</f>
        <v>40891</v>
      </c>
      <c r="N457" s="3">
        <v>0</v>
      </c>
      <c r="O457" s="118">
        <f>IF($B$454=12,'payment summary to Trustee'!$AW457,('payment summary to Trustee'!$BD457-'CDE Intercept  '!$T457)/4)</f>
        <v>40891</v>
      </c>
      <c r="P457" s="3">
        <v>0</v>
      </c>
      <c r="Q457" s="3">
        <v>0</v>
      </c>
      <c r="R457" s="3">
        <f>SUM(F457:Q457)</f>
        <v>280394</v>
      </c>
      <c r="T457" s="3">
        <f t="shared" si="157"/>
        <v>116830</v>
      </c>
      <c r="U457" s="94">
        <f>SUM(K457:Q457)</f>
        <v>163564</v>
      </c>
      <c r="V457" s="11">
        <f>SUM(T457:U457)-R457</f>
        <v>0</v>
      </c>
    </row>
    <row r="458" spans="1:22" ht="13.5" thickBot="1" x14ac:dyDescent="0.35">
      <c r="E458" s="13" t="s">
        <v>223</v>
      </c>
      <c r="F458" s="22">
        <f t="shared" ref="F458:R458" si="158">SUM(F455:F457)</f>
        <v>23616</v>
      </c>
      <c r="G458" s="22">
        <f t="shared" si="158"/>
        <v>23366</v>
      </c>
      <c r="H458" s="22">
        <f t="shared" si="158"/>
        <v>23366</v>
      </c>
      <c r="I458" s="22">
        <f t="shared" si="158"/>
        <v>23366</v>
      </c>
      <c r="J458" s="22">
        <f t="shared" si="158"/>
        <v>23366</v>
      </c>
      <c r="K458" s="22">
        <f t="shared" si="158"/>
        <v>40891</v>
      </c>
      <c r="L458" s="22">
        <f t="shared" si="158"/>
        <v>40891</v>
      </c>
      <c r="M458" s="22">
        <f t="shared" si="158"/>
        <v>40891</v>
      </c>
      <c r="N458" s="22">
        <f t="shared" si="158"/>
        <v>0</v>
      </c>
      <c r="O458" s="119">
        <f t="shared" si="158"/>
        <v>40891</v>
      </c>
      <c r="P458" s="22">
        <f t="shared" ref="P458" si="159">SUM(P455:P457)</f>
        <v>0</v>
      </c>
      <c r="Q458" s="22">
        <f t="shared" si="158"/>
        <v>0</v>
      </c>
      <c r="R458" s="22">
        <f t="shared" si="158"/>
        <v>280644</v>
      </c>
      <c r="T458" s="39">
        <f>SUM(T455:T457)</f>
        <v>117080</v>
      </c>
      <c r="U458" s="78">
        <f>SUM(U455:U457)</f>
        <v>163564</v>
      </c>
      <c r="V458" s="11">
        <f>SUM(T458:U458)-R458</f>
        <v>0</v>
      </c>
    </row>
    <row r="459" spans="1:22" x14ac:dyDescent="0.3">
      <c r="E459" s="15"/>
      <c r="O459" s="118"/>
    </row>
    <row r="460" spans="1:22" ht="15.5" x14ac:dyDescent="0.35">
      <c r="D460" s="30" t="s">
        <v>6</v>
      </c>
      <c r="E460" s="10" t="s">
        <v>224</v>
      </c>
      <c r="O460" s="118"/>
    </row>
    <row r="461" spans="1:22" x14ac:dyDescent="0.3">
      <c r="E461" s="8" t="s">
        <v>8</v>
      </c>
      <c r="O461" s="118"/>
    </row>
    <row r="462" spans="1:22" x14ac:dyDescent="0.3">
      <c r="E462" s="8" t="s">
        <v>9</v>
      </c>
      <c r="O462" s="118"/>
    </row>
    <row r="463" spans="1:22" ht="13.5" thickBot="1" x14ac:dyDescent="0.35">
      <c r="A463" t="s">
        <v>225</v>
      </c>
      <c r="E463" s="8" t="s">
        <v>10</v>
      </c>
      <c r="O463" s="118"/>
    </row>
    <row r="464" spans="1:22" ht="13.5" thickBot="1" x14ac:dyDescent="0.35">
      <c r="E464" s="13" t="s">
        <v>226</v>
      </c>
      <c r="O464" s="118"/>
    </row>
    <row r="465" spans="1:22" x14ac:dyDescent="0.3">
      <c r="E465" s="15"/>
      <c r="O465" s="118"/>
    </row>
    <row r="466" spans="1:22" ht="15.5" x14ac:dyDescent="0.35">
      <c r="B466">
        <v>9</v>
      </c>
      <c r="C466" s="1">
        <f>C454+1</f>
        <v>49</v>
      </c>
      <c r="D466" s="34" t="s">
        <v>14</v>
      </c>
      <c r="E466" s="25" t="s">
        <v>227</v>
      </c>
      <c r="O466" s="118"/>
    </row>
    <row r="467" spans="1:22" x14ac:dyDescent="0.3">
      <c r="B467">
        <v>9.1</v>
      </c>
      <c r="E467" s="8" t="s">
        <v>8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f>IF($B$466=12,'payment summary to Trustee'!$AW467,('payment summary to Trustee'!$BD467-'CDE Intercept  '!$T467)/4)</f>
        <v>0</v>
      </c>
      <c r="L467" s="3">
        <f>IF($B$466=12,'payment summary to Trustee'!$AW467,('payment summary to Trustee'!$BD467-'CDE Intercept  '!$T467)/4)</f>
        <v>0</v>
      </c>
      <c r="M467" s="3">
        <f>IF($B$466=12,'payment summary to Trustee'!$AW467,('payment summary to Trustee'!$BD467-'CDE Intercept  '!$T467)/4)</f>
        <v>0</v>
      </c>
      <c r="N467" s="3">
        <v>0</v>
      </c>
      <c r="O467" s="118">
        <f>IF($B$466=12,'payment summary to Trustee'!$AW467,('payment summary to Trustee'!$BD467-'CDE Intercept  '!$T467)/4)</f>
        <v>0</v>
      </c>
      <c r="P467" s="3">
        <v>0</v>
      </c>
      <c r="Q467" s="3">
        <v>0</v>
      </c>
      <c r="R467" s="3">
        <f>SUM(F467:Q467)</f>
        <v>0</v>
      </c>
      <c r="T467" s="3">
        <f>SUM(F467:J467)</f>
        <v>0</v>
      </c>
      <c r="U467" s="93">
        <f>SUM(K467:Q467)</f>
        <v>0</v>
      </c>
      <c r="V467" s="11">
        <f>SUM(T467:U467)-R467</f>
        <v>0</v>
      </c>
    </row>
    <row r="468" spans="1:22" x14ac:dyDescent="0.3">
      <c r="B468">
        <v>9.1999999999999993</v>
      </c>
      <c r="E468" s="8" t="s">
        <v>9</v>
      </c>
      <c r="F468" s="3">
        <v>250</v>
      </c>
      <c r="G468" s="3">
        <v>0</v>
      </c>
      <c r="H468" s="3">
        <v>0</v>
      </c>
      <c r="I468" s="3">
        <v>0</v>
      </c>
      <c r="J468" s="3">
        <v>0</v>
      </c>
      <c r="K468" s="3">
        <f>IF($B$466=12,'payment summary to Trustee'!$AW468,('payment summary to Trustee'!$BD468-'CDE Intercept  '!$T468)/4)</f>
        <v>0</v>
      </c>
      <c r="L468" s="3">
        <f>IF($B$466=12,'payment summary to Trustee'!$AW468,('payment summary to Trustee'!$BD468-'CDE Intercept  '!$T468)/4)</f>
        <v>0</v>
      </c>
      <c r="M468" s="3">
        <f>IF($B$466=12,'payment summary to Trustee'!$AW468,('payment summary to Trustee'!$BD468-'CDE Intercept  '!$T468)/4)</f>
        <v>0</v>
      </c>
      <c r="N468" s="3">
        <v>0</v>
      </c>
      <c r="O468" s="118">
        <f>IF($B$466=12,'payment summary to Trustee'!$AW468,('payment summary to Trustee'!$BD468-'CDE Intercept  '!$T468)/4)</f>
        <v>0</v>
      </c>
      <c r="P468" s="3">
        <v>0</v>
      </c>
      <c r="Q468" s="3">
        <v>0</v>
      </c>
      <c r="R468" s="3">
        <f>SUM(F468:Q468)</f>
        <v>250</v>
      </c>
      <c r="T468" s="3">
        <f t="shared" ref="T468:T469" si="160">SUM(F468:J468)</f>
        <v>250</v>
      </c>
      <c r="U468" s="93">
        <f>SUM(K468:Q468)</f>
        <v>0</v>
      </c>
      <c r="V468" s="11">
        <f>SUM(T468:U468)-R468</f>
        <v>0</v>
      </c>
    </row>
    <row r="469" spans="1:22" ht="13.5" thickBot="1" x14ac:dyDescent="0.35">
      <c r="A469" t="s">
        <v>228</v>
      </c>
      <c r="B469">
        <v>9.3000000000000007</v>
      </c>
      <c r="E469" s="8" t="s">
        <v>10</v>
      </c>
      <c r="F469" s="3">
        <f>42083.33+135289.58</f>
        <v>177372.90999999997</v>
      </c>
      <c r="G469" s="3">
        <f>42083.33+135289.58</f>
        <v>177372.90999999997</v>
      </c>
      <c r="H469" s="3">
        <f t="shared" ref="H469:J469" si="161">42083.33+135289.58</f>
        <v>177372.90999999997</v>
      </c>
      <c r="I469" s="3">
        <f t="shared" si="161"/>
        <v>177372.90999999997</v>
      </c>
      <c r="J469" s="3">
        <f t="shared" si="161"/>
        <v>177372.90999999997</v>
      </c>
      <c r="K469" s="3">
        <f>IF($B$466=12,'payment summary to Trustee'!$AW469,('payment summary to Trustee'!$BD469-'CDE Intercept  '!$T469)/4)</f>
        <v>310402.59249999991</v>
      </c>
      <c r="L469" s="3">
        <f>IF($B$466=12,'payment summary to Trustee'!$AW469,('payment summary to Trustee'!$BD469-'CDE Intercept  '!$T469)/4)</f>
        <v>310402.59249999991</v>
      </c>
      <c r="M469" s="3">
        <f>IF($B$466=12,'payment summary to Trustee'!$AW469,('payment summary to Trustee'!$BD469-'CDE Intercept  '!$T469)/4)</f>
        <v>310402.59249999991</v>
      </c>
      <c r="N469" s="3">
        <v>0</v>
      </c>
      <c r="O469" s="118">
        <f>IF($B$466=12,'payment summary to Trustee'!$AW469,('payment summary to Trustee'!$BD469-'CDE Intercept  '!$T469)/4)</f>
        <v>310402.59249999991</v>
      </c>
      <c r="P469" s="3">
        <v>0</v>
      </c>
      <c r="Q469" s="3">
        <v>0</v>
      </c>
      <c r="R469" s="3">
        <f>SUM(F469:Q469)</f>
        <v>2128474.919999999</v>
      </c>
      <c r="T469" s="3">
        <f t="shared" si="160"/>
        <v>886864.54999999981</v>
      </c>
      <c r="U469" s="94">
        <f>SUM(K469:Q469)</f>
        <v>1241610.3699999996</v>
      </c>
      <c r="V469" s="11">
        <f>SUM(T469:U469)-R469</f>
        <v>0</v>
      </c>
    </row>
    <row r="470" spans="1:22" ht="13.5" thickBot="1" x14ac:dyDescent="0.35">
      <c r="E470" s="13" t="s">
        <v>229</v>
      </c>
      <c r="F470" s="22">
        <f t="shared" ref="F470:R470" si="162">SUM(F467:F469)</f>
        <v>177622.90999999997</v>
      </c>
      <c r="G470" s="22">
        <f t="shared" si="162"/>
        <v>177372.90999999997</v>
      </c>
      <c r="H470" s="22">
        <f t="shared" si="162"/>
        <v>177372.90999999997</v>
      </c>
      <c r="I470" s="22">
        <f t="shared" si="162"/>
        <v>177372.90999999997</v>
      </c>
      <c r="J470" s="22">
        <f t="shared" si="162"/>
        <v>177372.90999999997</v>
      </c>
      <c r="K470" s="22">
        <f t="shared" si="162"/>
        <v>310402.59249999991</v>
      </c>
      <c r="L470" s="22">
        <f t="shared" si="162"/>
        <v>310402.59249999991</v>
      </c>
      <c r="M470" s="22">
        <f t="shared" si="162"/>
        <v>310402.59249999991</v>
      </c>
      <c r="N470" s="22">
        <f t="shared" si="162"/>
        <v>0</v>
      </c>
      <c r="O470" s="119">
        <f t="shared" si="162"/>
        <v>310402.59249999991</v>
      </c>
      <c r="P470" s="22">
        <f t="shared" ref="P470" si="163">SUM(P467:P469)</f>
        <v>0</v>
      </c>
      <c r="Q470" s="22">
        <f t="shared" si="162"/>
        <v>0</v>
      </c>
      <c r="R470" s="22">
        <f t="shared" si="162"/>
        <v>2128724.919999999</v>
      </c>
      <c r="T470" s="39">
        <f>SUM(T467:T469)</f>
        <v>887114.54999999981</v>
      </c>
      <c r="U470" s="78">
        <f>SUM(U467:U469)</f>
        <v>1241610.3699999996</v>
      </c>
      <c r="V470" s="11">
        <f>SUM(T470:U470)-R470</f>
        <v>0</v>
      </c>
    </row>
    <row r="471" spans="1:22" x14ac:dyDescent="0.3">
      <c r="E471" s="15"/>
      <c r="O471" s="118"/>
    </row>
    <row r="472" spans="1:22" ht="15.5" x14ac:dyDescent="0.35">
      <c r="D472" s="32" t="s">
        <v>6</v>
      </c>
      <c r="E472" s="10" t="s">
        <v>230</v>
      </c>
      <c r="O472" s="118"/>
    </row>
    <row r="473" spans="1:22" x14ac:dyDescent="0.3">
      <c r="E473" s="8" t="s">
        <v>8</v>
      </c>
      <c r="O473" s="118"/>
    </row>
    <row r="474" spans="1:22" x14ac:dyDescent="0.3">
      <c r="E474" s="8" t="s">
        <v>9</v>
      </c>
      <c r="O474" s="118"/>
    </row>
    <row r="475" spans="1:22" ht="13.5" thickBot="1" x14ac:dyDescent="0.35">
      <c r="A475" t="s">
        <v>231</v>
      </c>
      <c r="E475" s="8" t="s">
        <v>10</v>
      </c>
      <c r="O475" s="118"/>
    </row>
    <row r="476" spans="1:22" ht="13.5" thickBot="1" x14ac:dyDescent="0.35">
      <c r="E476" s="13" t="s">
        <v>232</v>
      </c>
      <c r="O476" s="118"/>
    </row>
    <row r="477" spans="1:22" x14ac:dyDescent="0.3">
      <c r="E477" s="15"/>
      <c r="O477" s="118"/>
    </row>
    <row r="478" spans="1:22" ht="15.5" x14ac:dyDescent="0.35">
      <c r="B478">
        <v>9</v>
      </c>
      <c r="C478" s="20">
        <f>+C466+1</f>
        <v>50</v>
      </c>
      <c r="D478" s="1" t="s">
        <v>14</v>
      </c>
      <c r="E478" s="25" t="s">
        <v>233</v>
      </c>
      <c r="O478" s="118"/>
    </row>
    <row r="479" spans="1:22" x14ac:dyDescent="0.3">
      <c r="B479">
        <v>9.1</v>
      </c>
      <c r="E479" s="8" t="s">
        <v>8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f>IF($B$478=12,'payment summary to Trustee'!$AW479,('payment summary to Trustee'!$BD479-'CDE Intercept  '!$T479)/4)</f>
        <v>0</v>
      </c>
      <c r="L479" s="3">
        <f>IF($B$478=12,'payment summary to Trustee'!$AW479,('payment summary to Trustee'!$BD479-'CDE Intercept  '!$T479)/4)</f>
        <v>0</v>
      </c>
      <c r="M479" s="3">
        <f>IF($B$478=12,'payment summary to Trustee'!$AW479,('payment summary to Trustee'!$BD479-'CDE Intercept  '!$T479)/4)</f>
        <v>0</v>
      </c>
      <c r="N479" s="3">
        <v>0</v>
      </c>
      <c r="O479" s="118">
        <f>IF($B$478=12,'payment summary to Trustee'!$AW479,('payment summary to Trustee'!$BD479-'CDE Intercept  '!$T479)/4)</f>
        <v>0</v>
      </c>
      <c r="P479" s="3">
        <v>0</v>
      </c>
      <c r="Q479" s="3">
        <v>0</v>
      </c>
      <c r="R479" s="3">
        <f>SUM(F479:Q479)</f>
        <v>0</v>
      </c>
      <c r="T479" s="3">
        <f>SUM(F479:J479)</f>
        <v>0</v>
      </c>
      <c r="U479" s="93">
        <f>SUM(K479:Q479)</f>
        <v>0</v>
      </c>
      <c r="V479" s="11">
        <f>SUM(T479:U479)-R479</f>
        <v>0</v>
      </c>
    </row>
    <row r="480" spans="1:22" x14ac:dyDescent="0.3">
      <c r="B480">
        <v>9.1999999999999993</v>
      </c>
      <c r="E480" s="8" t="s">
        <v>9</v>
      </c>
      <c r="F480" s="3">
        <v>250</v>
      </c>
      <c r="G480" s="3">
        <v>0</v>
      </c>
      <c r="H480" s="3">
        <v>0</v>
      </c>
      <c r="I480" s="3">
        <v>0</v>
      </c>
      <c r="J480" s="3">
        <v>0</v>
      </c>
      <c r="K480" s="3">
        <f>IF($B$478=12,'payment summary to Trustee'!$AW480,('payment summary to Trustee'!$BD480-'CDE Intercept  '!$T480)/4)</f>
        <v>0</v>
      </c>
      <c r="L480" s="3">
        <f>IF($B$478=12,'payment summary to Trustee'!$AW480,('payment summary to Trustee'!$BD480-'CDE Intercept  '!$T480)/4)</f>
        <v>0</v>
      </c>
      <c r="M480" s="3">
        <f>IF($B$478=12,'payment summary to Trustee'!$AW480,('payment summary to Trustee'!$BD480-'CDE Intercept  '!$T480)/4)</f>
        <v>0</v>
      </c>
      <c r="N480" s="3">
        <v>0</v>
      </c>
      <c r="O480" s="118">
        <f>IF($B$478=12,'payment summary to Trustee'!$AW480,('payment summary to Trustee'!$BD480-'CDE Intercept  '!$T480)/4)</f>
        <v>0</v>
      </c>
      <c r="P480" s="3">
        <v>0</v>
      </c>
      <c r="Q480" s="3">
        <v>0</v>
      </c>
      <c r="R480" s="3">
        <f>SUM(F480:Q480)</f>
        <v>250</v>
      </c>
      <c r="T480" s="3">
        <f t="shared" ref="T480:T481" si="164">SUM(F480:J480)</f>
        <v>250</v>
      </c>
      <c r="U480" s="93">
        <f>SUM(K480:Q480)</f>
        <v>0</v>
      </c>
      <c r="V480" s="11">
        <f>SUM(T480:U480)-R480</f>
        <v>0</v>
      </c>
    </row>
    <row r="481" spans="1:22" ht="13.5" thickBot="1" x14ac:dyDescent="0.35">
      <c r="A481" t="s">
        <v>234</v>
      </c>
      <c r="B481">
        <v>9.3000000000000007</v>
      </c>
      <c r="E481" s="8" t="s">
        <v>10</v>
      </c>
      <c r="F481" s="3">
        <f>33333.34+164583.34</f>
        <v>197916.68</v>
      </c>
      <c r="G481" s="3">
        <f>33333.34+164583.34</f>
        <v>197916.68</v>
      </c>
      <c r="H481" s="3">
        <f>33333.34+164583.34</f>
        <v>197916.68</v>
      </c>
      <c r="I481" s="3">
        <f>35000+162916.67</f>
        <v>197916.67</v>
      </c>
      <c r="J481" s="3">
        <f t="shared" ref="J481" si="165">35000+162916.67</f>
        <v>197916.67</v>
      </c>
      <c r="K481" s="3">
        <f>IF($B$478=12,'payment summary to Trustee'!$AW481,('payment summary to Trustee'!$BD481-'CDE Intercept  '!$T481)/4)</f>
        <v>346354.17249999993</v>
      </c>
      <c r="L481" s="3">
        <f>IF($B$478=12,'payment summary to Trustee'!$AW481,('payment summary to Trustee'!$BD481-'CDE Intercept  '!$T481)/4)</f>
        <v>346354.17249999993</v>
      </c>
      <c r="M481" s="3">
        <f>IF($B$478=12,'payment summary to Trustee'!$AW481,('payment summary to Trustee'!$BD481-'CDE Intercept  '!$T481)/4)</f>
        <v>346354.17249999993</v>
      </c>
      <c r="N481" s="3">
        <v>0</v>
      </c>
      <c r="O481" s="118">
        <f>IF($B$478=12,'payment summary to Trustee'!$AW481,('payment summary to Trustee'!$BD481-'CDE Intercept  '!$T481)/4)</f>
        <v>346354.17249999993</v>
      </c>
      <c r="P481" s="3">
        <v>0</v>
      </c>
      <c r="Q481" s="3">
        <v>0</v>
      </c>
      <c r="R481" s="3">
        <f>SUM(F481:Q481)</f>
        <v>2375000.0699999998</v>
      </c>
      <c r="T481" s="3">
        <f t="shared" si="164"/>
        <v>989583.38000000012</v>
      </c>
      <c r="U481" s="94">
        <f>SUM(K481:Q481)</f>
        <v>1385416.6899999997</v>
      </c>
      <c r="V481" s="11">
        <f>SUM(T481:U481)-R481</f>
        <v>0</v>
      </c>
    </row>
    <row r="482" spans="1:22" ht="13.5" thickBot="1" x14ac:dyDescent="0.35">
      <c r="E482" s="13" t="s">
        <v>235</v>
      </c>
      <c r="F482" s="22">
        <f t="shared" ref="F482:R482" si="166">SUM(F479:F481)</f>
        <v>198166.68</v>
      </c>
      <c r="G482" s="22">
        <f t="shared" si="166"/>
        <v>197916.68</v>
      </c>
      <c r="H482" s="22">
        <f t="shared" si="166"/>
        <v>197916.68</v>
      </c>
      <c r="I482" s="22">
        <f t="shared" si="166"/>
        <v>197916.67</v>
      </c>
      <c r="J482" s="22">
        <f t="shared" si="166"/>
        <v>197916.67</v>
      </c>
      <c r="K482" s="22">
        <f t="shared" si="166"/>
        <v>346354.17249999993</v>
      </c>
      <c r="L482" s="22">
        <f t="shared" si="166"/>
        <v>346354.17249999993</v>
      </c>
      <c r="M482" s="22">
        <f t="shared" si="166"/>
        <v>346354.17249999993</v>
      </c>
      <c r="N482" s="22">
        <f t="shared" si="166"/>
        <v>0</v>
      </c>
      <c r="O482" s="119">
        <f t="shared" si="166"/>
        <v>346354.17249999993</v>
      </c>
      <c r="P482" s="22">
        <f t="shared" ref="P482" si="167">SUM(P479:P481)</f>
        <v>0</v>
      </c>
      <c r="Q482" s="22">
        <f t="shared" si="166"/>
        <v>0</v>
      </c>
      <c r="R482" s="22">
        <f t="shared" si="166"/>
        <v>2375250.0699999998</v>
      </c>
      <c r="T482" s="39">
        <f>SUM(T479:T481)</f>
        <v>989833.38000000012</v>
      </c>
      <c r="U482" s="78">
        <f>SUM(U479:U481)</f>
        <v>1385416.6899999997</v>
      </c>
      <c r="V482" s="11">
        <f>SUM(T482:U482)-R482</f>
        <v>0</v>
      </c>
    </row>
    <row r="483" spans="1:22" x14ac:dyDescent="0.3">
      <c r="E483" s="15"/>
      <c r="O483" s="118"/>
    </row>
    <row r="484" spans="1:22" ht="15.5" x14ac:dyDescent="0.35">
      <c r="C484" s="20"/>
      <c r="D484" s="35" t="s">
        <v>6</v>
      </c>
      <c r="E484" s="10" t="s">
        <v>236</v>
      </c>
      <c r="O484" s="118"/>
    </row>
    <row r="485" spans="1:22" x14ac:dyDescent="0.3">
      <c r="E485" s="8" t="s">
        <v>8</v>
      </c>
      <c r="O485" s="118"/>
    </row>
    <row r="486" spans="1:22" x14ac:dyDescent="0.3">
      <c r="E486" s="8" t="s">
        <v>9</v>
      </c>
      <c r="O486" s="118"/>
    </row>
    <row r="487" spans="1:22" ht="13.5" thickBot="1" x14ac:dyDescent="0.35">
      <c r="A487" t="s">
        <v>237</v>
      </c>
      <c r="E487" s="8" t="s">
        <v>10</v>
      </c>
      <c r="O487" s="118"/>
    </row>
    <row r="488" spans="1:22" ht="13.5" thickBot="1" x14ac:dyDescent="0.35">
      <c r="E488" s="13" t="s">
        <v>238</v>
      </c>
      <c r="O488" s="118"/>
    </row>
    <row r="489" spans="1:22" x14ac:dyDescent="0.3">
      <c r="E489" s="15"/>
      <c r="O489" s="118"/>
    </row>
    <row r="490" spans="1:22" ht="15.5" x14ac:dyDescent="0.35">
      <c r="B490">
        <v>9</v>
      </c>
      <c r="C490" s="20">
        <f>+C478+1</f>
        <v>51</v>
      </c>
      <c r="D490" s="1" t="s">
        <v>14</v>
      </c>
      <c r="E490" s="25" t="s">
        <v>239</v>
      </c>
      <c r="O490" s="118"/>
    </row>
    <row r="491" spans="1:22" x14ac:dyDescent="0.3">
      <c r="B491">
        <v>9.1</v>
      </c>
      <c r="E491" s="8" t="s">
        <v>8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f>IF($B$490=12,'payment summary to Trustee'!$AW491,('payment summary to Trustee'!$BD491-'CDE Intercept  '!$T491)/4)</f>
        <v>0</v>
      </c>
      <c r="L491" s="3">
        <f>IF($B$490=12,'payment summary to Trustee'!$AW491,('payment summary to Trustee'!$BD491-'CDE Intercept  '!$T491)/4)</f>
        <v>0</v>
      </c>
      <c r="M491" s="3">
        <f>IF($B$490=12,'payment summary to Trustee'!$AW491,('payment summary to Trustee'!$BD491-'CDE Intercept  '!$T491)/4)</f>
        <v>0</v>
      </c>
      <c r="N491" s="3">
        <v>0</v>
      </c>
      <c r="O491" s="118">
        <f>IF($B$490=12,'payment summary to Trustee'!$AW491,('payment summary to Trustee'!$BD491-'CDE Intercept  '!$T491)/4)</f>
        <v>0</v>
      </c>
      <c r="P491" s="3">
        <v>0</v>
      </c>
      <c r="Q491" s="3">
        <v>0</v>
      </c>
      <c r="R491" s="3">
        <f>SUM(F491:Q491)</f>
        <v>0</v>
      </c>
      <c r="T491" s="3">
        <f>SUM(F491:J491)</f>
        <v>0</v>
      </c>
      <c r="U491" s="93">
        <f>SUM(K491:Q491)</f>
        <v>0</v>
      </c>
      <c r="V491" s="11">
        <f>SUM(T491:U491)-R491</f>
        <v>0</v>
      </c>
    </row>
    <row r="492" spans="1:22" x14ac:dyDescent="0.3">
      <c r="B492">
        <v>9.1999999999999993</v>
      </c>
      <c r="E492" s="8" t="s">
        <v>9</v>
      </c>
      <c r="F492" s="3">
        <v>250</v>
      </c>
      <c r="G492" s="3">
        <v>0</v>
      </c>
      <c r="H492" s="3">
        <v>0</v>
      </c>
      <c r="I492" s="3">
        <v>0</v>
      </c>
      <c r="J492" s="3">
        <v>0</v>
      </c>
      <c r="K492" s="3">
        <f>IF($B$490=12,'payment summary to Trustee'!$AW492,('payment summary to Trustee'!$BD492-'CDE Intercept  '!$T492)/4)</f>
        <v>0</v>
      </c>
      <c r="L492" s="3">
        <f>IF($B$490=12,'payment summary to Trustee'!$AW492,('payment summary to Trustee'!$BD492-'CDE Intercept  '!$T492)/4)</f>
        <v>0</v>
      </c>
      <c r="M492" s="3">
        <f>IF($B$490=12,'payment summary to Trustee'!$AW492,('payment summary to Trustee'!$BD492-'CDE Intercept  '!$T492)/4)</f>
        <v>0</v>
      </c>
      <c r="N492" s="3">
        <v>0</v>
      </c>
      <c r="O492" s="118">
        <f>IF($B$490=12,'payment summary to Trustee'!$AW492,('payment summary to Trustee'!$BD492-'CDE Intercept  '!$T492)/4)</f>
        <v>0</v>
      </c>
      <c r="P492" s="3">
        <v>0</v>
      </c>
      <c r="Q492" s="3">
        <v>0</v>
      </c>
      <c r="R492" s="3">
        <f>SUM(F492:Q492)</f>
        <v>250</v>
      </c>
      <c r="T492" s="3">
        <f t="shared" ref="T492:T493" si="168">SUM(F492:J492)</f>
        <v>250</v>
      </c>
      <c r="U492" s="93">
        <f>SUM(K492:Q492)</f>
        <v>0</v>
      </c>
      <c r="V492" s="11">
        <f>SUM(T492:U492)-R492</f>
        <v>0</v>
      </c>
    </row>
    <row r="493" spans="1:22" ht="13.5" thickBot="1" x14ac:dyDescent="0.35">
      <c r="A493" t="s">
        <v>240</v>
      </c>
      <c r="B493">
        <v>9.3000000000000007</v>
      </c>
      <c r="E493" s="8" t="s">
        <v>10</v>
      </c>
      <c r="F493" s="3">
        <f>43304.16+7083.33</f>
        <v>50387.490000000005</v>
      </c>
      <c r="G493" s="3">
        <f>43304.16+7083.33</f>
        <v>50387.490000000005</v>
      </c>
      <c r="H493" s="3">
        <f>43304.16+7083.33</f>
        <v>50387.490000000005</v>
      </c>
      <c r="I493" s="3">
        <f>43304.2+7083.37</f>
        <v>50387.57</v>
      </c>
      <c r="J493" s="3">
        <f>43020.83+6666.66</f>
        <v>49687.490000000005</v>
      </c>
      <c r="K493" s="3">
        <f>IF($B$490=12,'payment summary to Trustee'!$AW493,('payment summary to Trustee'!$BD493-'CDE Intercept  '!$T493)/4)</f>
        <v>86953.112499999988</v>
      </c>
      <c r="L493" s="3">
        <f>IF($B$490=12,'payment summary to Trustee'!$AW493,('payment summary to Trustee'!$BD493-'CDE Intercept  '!$T493)/4)</f>
        <v>86953.112499999988</v>
      </c>
      <c r="M493" s="3">
        <f>IF($B$490=12,'payment summary to Trustee'!$AW493,('payment summary to Trustee'!$BD493-'CDE Intercept  '!$T493)/4)</f>
        <v>86953.112499999988</v>
      </c>
      <c r="N493" s="3">
        <v>0</v>
      </c>
      <c r="O493" s="118">
        <f>IF($B$490=12,'payment summary to Trustee'!$AW493,('payment summary to Trustee'!$BD493-'CDE Intercept  '!$T493)/4)</f>
        <v>86953.112499999988</v>
      </c>
      <c r="P493" s="3">
        <v>0</v>
      </c>
      <c r="Q493" s="3">
        <v>0</v>
      </c>
      <c r="R493" s="3">
        <f>SUM(F493:Q493)</f>
        <v>599049.98</v>
      </c>
      <c r="T493" s="3">
        <f t="shared" si="168"/>
        <v>251237.53000000003</v>
      </c>
      <c r="U493" s="94">
        <f>SUM(K493:Q493)</f>
        <v>347812.44999999995</v>
      </c>
      <c r="V493" s="11">
        <f>SUM(T493:U493)-R493</f>
        <v>0</v>
      </c>
    </row>
    <row r="494" spans="1:22" ht="13.5" thickBot="1" x14ac:dyDescent="0.35">
      <c r="E494" s="13" t="s">
        <v>73</v>
      </c>
      <c r="F494" s="22">
        <f t="shared" ref="F494:R494" si="169">SUM(F491:F493)</f>
        <v>50637.490000000005</v>
      </c>
      <c r="G494" s="22">
        <f t="shared" si="169"/>
        <v>50387.490000000005</v>
      </c>
      <c r="H494" s="22">
        <f t="shared" si="169"/>
        <v>50387.490000000005</v>
      </c>
      <c r="I494" s="22">
        <f t="shared" si="169"/>
        <v>50387.57</v>
      </c>
      <c r="J494" s="22">
        <f t="shared" si="169"/>
        <v>49687.490000000005</v>
      </c>
      <c r="K494" s="22">
        <f t="shared" si="169"/>
        <v>86953.112499999988</v>
      </c>
      <c r="L494" s="22">
        <f t="shared" si="169"/>
        <v>86953.112499999988</v>
      </c>
      <c r="M494" s="22">
        <f t="shared" si="169"/>
        <v>86953.112499999988</v>
      </c>
      <c r="N494" s="22">
        <f t="shared" si="169"/>
        <v>0</v>
      </c>
      <c r="O494" s="119">
        <f t="shared" si="169"/>
        <v>86953.112499999988</v>
      </c>
      <c r="P494" s="22">
        <f t="shared" ref="P494" si="170">SUM(P491:P493)</f>
        <v>0</v>
      </c>
      <c r="Q494" s="22">
        <f t="shared" si="169"/>
        <v>0</v>
      </c>
      <c r="R494" s="22">
        <f t="shared" si="169"/>
        <v>599299.98</v>
      </c>
      <c r="T494" s="39">
        <f>SUM(T491:T493)</f>
        <v>251487.53000000003</v>
      </c>
      <c r="U494" s="78">
        <f>SUM(U491:U493)</f>
        <v>347812.44999999995</v>
      </c>
      <c r="V494" s="11">
        <f>SUM(T494:U494)-R494</f>
        <v>0</v>
      </c>
    </row>
    <row r="495" spans="1:22" x14ac:dyDescent="0.3">
      <c r="E495" s="15"/>
      <c r="O495" s="118"/>
    </row>
    <row r="496" spans="1:22" ht="15.5" x14ac:dyDescent="0.35">
      <c r="C496" s="20"/>
      <c r="D496" s="35" t="s">
        <v>6</v>
      </c>
      <c r="E496" s="10" t="s">
        <v>241</v>
      </c>
      <c r="O496" s="118"/>
    </row>
    <row r="497" spans="1:23" x14ac:dyDescent="0.3">
      <c r="E497" s="8" t="s">
        <v>8</v>
      </c>
      <c r="O497" s="118"/>
    </row>
    <row r="498" spans="1:23" x14ac:dyDescent="0.3">
      <c r="E498" s="8" t="s">
        <v>9</v>
      </c>
      <c r="O498" s="118"/>
    </row>
    <row r="499" spans="1:23" ht="13.5" thickBot="1" x14ac:dyDescent="0.35">
      <c r="A499" t="s">
        <v>242</v>
      </c>
      <c r="E499" s="8" t="s">
        <v>10</v>
      </c>
      <c r="O499" s="118"/>
    </row>
    <row r="500" spans="1:23" ht="13.5" thickBot="1" x14ac:dyDescent="0.35">
      <c r="E500" s="13" t="s">
        <v>243</v>
      </c>
      <c r="O500" s="118"/>
    </row>
    <row r="501" spans="1:23" x14ac:dyDescent="0.3">
      <c r="E501" s="15"/>
      <c r="O501" s="118"/>
    </row>
    <row r="502" spans="1:23" ht="15.5" x14ac:dyDescent="0.35">
      <c r="C502" s="20"/>
      <c r="D502" s="35" t="s">
        <v>6</v>
      </c>
      <c r="E502" s="10" t="s">
        <v>244</v>
      </c>
      <c r="O502" s="118"/>
    </row>
    <row r="503" spans="1:23" x14ac:dyDescent="0.3">
      <c r="E503" s="8" t="s">
        <v>8</v>
      </c>
      <c r="O503" s="118"/>
    </row>
    <row r="504" spans="1:23" x14ac:dyDescent="0.3">
      <c r="E504" s="8" t="s">
        <v>9</v>
      </c>
      <c r="O504" s="118"/>
    </row>
    <row r="505" spans="1:23" ht="13.5" thickBot="1" x14ac:dyDescent="0.35">
      <c r="A505" t="s">
        <v>245</v>
      </c>
      <c r="E505" s="8" t="s">
        <v>10</v>
      </c>
      <c r="O505" s="118"/>
      <c r="W505" s="11"/>
    </row>
    <row r="506" spans="1:23" ht="13.5" thickBot="1" x14ac:dyDescent="0.35">
      <c r="E506" s="13" t="s">
        <v>246</v>
      </c>
      <c r="O506" s="118"/>
    </row>
    <row r="507" spans="1:23" x14ac:dyDescent="0.3">
      <c r="E507" s="15"/>
      <c r="O507" s="118"/>
    </row>
    <row r="508" spans="1:23" ht="15.5" x14ac:dyDescent="0.35">
      <c r="A508" s="97" t="s">
        <v>929</v>
      </c>
      <c r="B508" s="103">
        <v>9</v>
      </c>
      <c r="C508" s="20">
        <f>+C490+1</f>
        <v>52</v>
      </c>
      <c r="D508" s="1" t="s">
        <v>14</v>
      </c>
      <c r="E508" s="104" t="s">
        <v>247</v>
      </c>
      <c r="O508" s="118"/>
    </row>
    <row r="509" spans="1:23" x14ac:dyDescent="0.3">
      <c r="A509" s="97" t="s">
        <v>930</v>
      </c>
      <c r="B509" s="103">
        <v>9.1</v>
      </c>
      <c r="E509" s="8" t="s">
        <v>8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118">
        <v>0</v>
      </c>
      <c r="P509" s="3">
        <v>0</v>
      </c>
      <c r="Q509" s="3">
        <v>0</v>
      </c>
      <c r="R509" s="3">
        <f>SUM(F509:Q509)</f>
        <v>0</v>
      </c>
      <c r="T509" s="3">
        <f>SUM(F509:J509)</f>
        <v>0</v>
      </c>
      <c r="U509" s="93">
        <f>SUM(K509:Q509)</f>
        <v>0</v>
      </c>
      <c r="V509" s="11">
        <f>SUM(T509:U509)-R509</f>
        <v>0</v>
      </c>
    </row>
    <row r="510" spans="1:23" x14ac:dyDescent="0.3">
      <c r="B510" s="103">
        <v>9.1999999999999993</v>
      </c>
      <c r="E510" s="8" t="s">
        <v>9</v>
      </c>
      <c r="F510" s="3">
        <v>250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118">
        <v>0</v>
      </c>
      <c r="P510" s="3">
        <v>0</v>
      </c>
      <c r="Q510" s="3">
        <v>0</v>
      </c>
      <c r="R510" s="3">
        <f>SUM(F510:Q510)</f>
        <v>250</v>
      </c>
      <c r="T510" s="3">
        <f t="shared" ref="T510:T511" si="171">SUM(F510:J510)</f>
        <v>250</v>
      </c>
      <c r="U510" s="93">
        <f>SUM(K510:Q510)</f>
        <v>0</v>
      </c>
      <c r="V510" s="11">
        <f>SUM(T510:U510)-R510</f>
        <v>0</v>
      </c>
    </row>
    <row r="511" spans="1:23" ht="13.5" thickBot="1" x14ac:dyDescent="0.35">
      <c r="A511" t="s">
        <v>248</v>
      </c>
      <c r="B511" s="103">
        <v>9.3000000000000007</v>
      </c>
      <c r="E511" s="8" t="s">
        <v>10</v>
      </c>
      <c r="F511" s="3">
        <f>25321+17017.73</f>
        <v>42338.729999999996</v>
      </c>
      <c r="G511" s="3">
        <f>25373+16965.4</f>
        <v>42338.400000000001</v>
      </c>
      <c r="H511" s="3">
        <f>25426+16912.96</f>
        <v>42338.96</v>
      </c>
      <c r="I511" s="3">
        <f>25478+16860.41</f>
        <v>42338.41</v>
      </c>
      <c r="J511" s="3">
        <f>25531+16807.76</f>
        <v>42338.759999999995</v>
      </c>
      <c r="K511" s="3">
        <v>42339</v>
      </c>
      <c r="L511" s="3">
        <f>25637+16702.12</f>
        <v>42339.119999999995</v>
      </c>
      <c r="M511" s="3">
        <f>25690+16649.14</f>
        <v>42339.14</v>
      </c>
      <c r="N511" s="3">
        <v>0</v>
      </c>
      <c r="O511" s="118">
        <f>25849+16489.53+42339.05+42338.84+42339.11</f>
        <v>169355.53</v>
      </c>
      <c r="P511" s="3">
        <v>0</v>
      </c>
      <c r="Q511" s="3">
        <v>0</v>
      </c>
      <c r="R511" s="3">
        <f>SUM(F511:Q511)</f>
        <v>508066.05000000005</v>
      </c>
      <c r="T511" s="3">
        <f t="shared" si="171"/>
        <v>211693.26</v>
      </c>
      <c r="U511" s="94">
        <f>SUM(K511:Q511)</f>
        <v>296372.78999999998</v>
      </c>
      <c r="V511" s="11">
        <f>SUM(T511:U511)-R511</f>
        <v>0</v>
      </c>
    </row>
    <row r="512" spans="1:23" ht="13.5" thickBot="1" x14ac:dyDescent="0.35">
      <c r="E512" s="13" t="s">
        <v>249</v>
      </c>
      <c r="F512" s="22">
        <f t="shared" ref="F512:R512" si="172">SUM(F509:F511)</f>
        <v>42588.729999999996</v>
      </c>
      <c r="G512" s="22">
        <f t="shared" si="172"/>
        <v>42338.400000000001</v>
      </c>
      <c r="H512" s="22">
        <f t="shared" si="172"/>
        <v>42338.96</v>
      </c>
      <c r="I512" s="22">
        <f t="shared" si="172"/>
        <v>42338.41</v>
      </c>
      <c r="J512" s="22">
        <f t="shared" si="172"/>
        <v>42338.759999999995</v>
      </c>
      <c r="K512" s="22">
        <f t="shared" si="172"/>
        <v>42339</v>
      </c>
      <c r="L512" s="22">
        <f t="shared" si="172"/>
        <v>42339.119999999995</v>
      </c>
      <c r="M512" s="22">
        <f t="shared" si="172"/>
        <v>42339.14</v>
      </c>
      <c r="N512" s="22">
        <f t="shared" si="172"/>
        <v>0</v>
      </c>
      <c r="O512" s="119">
        <f t="shared" si="172"/>
        <v>169355.53</v>
      </c>
      <c r="P512" s="22">
        <f t="shared" si="172"/>
        <v>0</v>
      </c>
      <c r="Q512" s="22">
        <f t="shared" si="172"/>
        <v>0</v>
      </c>
      <c r="R512" s="22">
        <f t="shared" si="172"/>
        <v>508316.05000000005</v>
      </c>
      <c r="T512" s="39">
        <f>SUM(T509:T511)</f>
        <v>211943.26</v>
      </c>
      <c r="U512" s="78">
        <f>SUM(U509:U511)</f>
        <v>296372.78999999998</v>
      </c>
      <c r="V512" s="11">
        <f>SUM(T512:U512)-R512</f>
        <v>0</v>
      </c>
    </row>
    <row r="513" spans="1:22" x14ac:dyDescent="0.3">
      <c r="E513" s="15"/>
      <c r="O513" s="118"/>
      <c r="V513" s="11"/>
    </row>
    <row r="514" spans="1:22" ht="15.5" x14ac:dyDescent="0.35">
      <c r="B514">
        <v>9</v>
      </c>
      <c r="C514" s="20">
        <f>+C508+1</f>
        <v>53</v>
      </c>
      <c r="D514" s="1" t="s">
        <v>14</v>
      </c>
      <c r="E514" s="25" t="s">
        <v>250</v>
      </c>
      <c r="O514" s="118"/>
      <c r="V514" s="11"/>
    </row>
    <row r="515" spans="1:22" x14ac:dyDescent="0.3">
      <c r="B515">
        <v>9.1</v>
      </c>
      <c r="E515" s="8" t="s">
        <v>8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f>IF($B$514=12,'payment summary to Trustee'!$AW515,('payment summary to Trustee'!$BD515-'CDE Intercept  '!$T515)/4)</f>
        <v>0</v>
      </c>
      <c r="L515" s="3">
        <f>IF($B$514=12,'payment summary to Trustee'!$AW515,('payment summary to Trustee'!$BD515-'CDE Intercept  '!$T515)/4)</f>
        <v>0</v>
      </c>
      <c r="M515" s="3">
        <f>IF($B$514=12,'payment summary to Trustee'!$AW515,('payment summary to Trustee'!$BD515-'CDE Intercept  '!$T515)/4)</f>
        <v>0</v>
      </c>
      <c r="N515" s="3">
        <v>0</v>
      </c>
      <c r="O515" s="118">
        <f>IF($B$514=12,'payment summary to Trustee'!$AW515,('payment summary to Trustee'!$BD515-'CDE Intercept  '!$T515)/4)</f>
        <v>0</v>
      </c>
      <c r="P515" s="3">
        <v>0</v>
      </c>
      <c r="Q515" s="3">
        <v>0</v>
      </c>
      <c r="R515" s="3">
        <f>SUM(F515:Q515)</f>
        <v>0</v>
      </c>
      <c r="T515" s="3">
        <f>SUM(F515:J515)</f>
        <v>0</v>
      </c>
      <c r="U515" s="94">
        <f>SUM(K515:Q515)/4</f>
        <v>0</v>
      </c>
      <c r="V515" s="11">
        <f>SUM(T515:U515)-R515</f>
        <v>0</v>
      </c>
    </row>
    <row r="516" spans="1:22" x14ac:dyDescent="0.3">
      <c r="B516">
        <v>9.1999999999999993</v>
      </c>
      <c r="E516" s="8" t="s">
        <v>9</v>
      </c>
      <c r="F516" s="3">
        <v>250</v>
      </c>
      <c r="G516" s="3">
        <v>0</v>
      </c>
      <c r="H516" s="3">
        <v>0</v>
      </c>
      <c r="I516" s="3">
        <v>0</v>
      </c>
      <c r="J516" s="3">
        <v>0</v>
      </c>
      <c r="K516" s="3">
        <f>IF($B$514=12,'payment summary to Trustee'!$AW516,('payment summary to Trustee'!$BD516-'CDE Intercept  '!$T516)/4)</f>
        <v>0</v>
      </c>
      <c r="L516" s="3">
        <f>IF($B$514=12,'payment summary to Trustee'!$AW516,('payment summary to Trustee'!$BD516-'CDE Intercept  '!$T516)/4)</f>
        <v>0</v>
      </c>
      <c r="M516" s="3">
        <f>IF($B$514=12,'payment summary to Trustee'!$AW516,('payment summary to Trustee'!$BD516-'CDE Intercept  '!$T516)/4)</f>
        <v>0</v>
      </c>
      <c r="N516" s="3">
        <v>0</v>
      </c>
      <c r="O516" s="118">
        <f>IF($B$514=12,'payment summary to Trustee'!$AW516,('payment summary to Trustee'!$BD516-'CDE Intercept  '!$T516)/4)</f>
        <v>0</v>
      </c>
      <c r="P516" s="3">
        <v>0</v>
      </c>
      <c r="Q516" s="3">
        <v>0</v>
      </c>
      <c r="R516" s="3">
        <f>SUM(F516:Q516)</f>
        <v>250</v>
      </c>
      <c r="T516" s="3">
        <f t="shared" ref="T516:T517" si="173">SUM(F516:J516)</f>
        <v>250</v>
      </c>
      <c r="U516" s="93">
        <f>SUM(K516:Q516)/4</f>
        <v>0</v>
      </c>
      <c r="V516" s="11">
        <f>SUM(T516:U516)-R516</f>
        <v>0</v>
      </c>
    </row>
    <row r="517" spans="1:22" ht="13.5" thickBot="1" x14ac:dyDescent="0.35">
      <c r="A517" t="s">
        <v>251</v>
      </c>
      <c r="B517">
        <v>9.3000000000000007</v>
      </c>
      <c r="E517" s="8" t="s">
        <v>10</v>
      </c>
      <c r="F517" s="3">
        <f>34775+41562.27</f>
        <v>76337.26999999999</v>
      </c>
      <c r="G517" s="3">
        <f>34885+41452.72</f>
        <v>76337.72</v>
      </c>
      <c r="H517" s="3">
        <f>34994+41342.84</f>
        <v>76336.84</v>
      </c>
      <c r="I517" s="3">
        <f>35105+41232.61</f>
        <v>76337.61</v>
      </c>
      <c r="J517" s="3">
        <f>35215+41122.02</f>
        <v>76337.01999999999</v>
      </c>
      <c r="K517" s="3">
        <f>IF($B$514=12,'payment summary to Trustee'!$AW517,('payment summary to Trustee'!$BD517-'CDE Intercept  '!$T517)/4)</f>
        <v>133589.88999999996</v>
      </c>
      <c r="L517" s="3">
        <f>IF($B$514=12,'payment summary to Trustee'!$AW517,('payment summary to Trustee'!$BD517-'CDE Intercept  '!$T517)/4)</f>
        <v>133589.88999999996</v>
      </c>
      <c r="M517" s="3">
        <f>IF($B$514=12,'payment summary to Trustee'!$AW517,('payment summary to Trustee'!$BD517-'CDE Intercept  '!$T517)/4)</f>
        <v>133589.88999999996</v>
      </c>
      <c r="N517" s="3">
        <v>0</v>
      </c>
      <c r="O517" s="118">
        <f>IF($B$514=12,'payment summary to Trustee'!$AW517,('payment summary to Trustee'!$BD517-'CDE Intercept  '!$T517)/4)</f>
        <v>133589.88999999996</v>
      </c>
      <c r="P517" s="3">
        <v>0</v>
      </c>
      <c r="Q517" s="3">
        <v>0</v>
      </c>
      <c r="R517" s="3">
        <f>SUM(F517:Q517)</f>
        <v>916046.01999999979</v>
      </c>
      <c r="T517" s="3">
        <f t="shared" si="173"/>
        <v>381686.45999999996</v>
      </c>
      <c r="U517" s="94">
        <f>SUM(K517:Q517)</f>
        <v>534359.55999999982</v>
      </c>
      <c r="V517" s="11">
        <f>SUM(T517:U517)-R517</f>
        <v>0</v>
      </c>
    </row>
    <row r="518" spans="1:22" ht="13.5" thickBot="1" x14ac:dyDescent="0.35">
      <c r="E518" s="13" t="s">
        <v>252</v>
      </c>
      <c r="F518" s="22">
        <f t="shared" ref="F518:R518" si="174">SUM(F515:F517)</f>
        <v>76587.26999999999</v>
      </c>
      <c r="G518" s="22">
        <f t="shared" si="174"/>
        <v>76337.72</v>
      </c>
      <c r="H518" s="22">
        <f t="shared" si="174"/>
        <v>76336.84</v>
      </c>
      <c r="I518" s="22">
        <f t="shared" si="174"/>
        <v>76337.61</v>
      </c>
      <c r="J518" s="22">
        <f t="shared" si="174"/>
        <v>76337.01999999999</v>
      </c>
      <c r="K518" s="22">
        <f t="shared" si="174"/>
        <v>133589.88999999996</v>
      </c>
      <c r="L518" s="22">
        <f t="shared" si="174"/>
        <v>133589.88999999996</v>
      </c>
      <c r="M518" s="22">
        <f t="shared" si="174"/>
        <v>133589.88999999996</v>
      </c>
      <c r="N518" s="22">
        <f t="shared" si="174"/>
        <v>0</v>
      </c>
      <c r="O518" s="119">
        <f t="shared" si="174"/>
        <v>133589.88999999996</v>
      </c>
      <c r="P518" s="22">
        <f t="shared" ref="P518" si="175">SUM(P515:P517)</f>
        <v>0</v>
      </c>
      <c r="Q518" s="22">
        <f t="shared" si="174"/>
        <v>0</v>
      </c>
      <c r="R518" s="22">
        <f t="shared" si="174"/>
        <v>916296.01999999979</v>
      </c>
      <c r="T518" s="39">
        <f>SUM(T515:T517)</f>
        <v>381936.45999999996</v>
      </c>
      <c r="U518" s="78">
        <f>SUM(U515:U517)</f>
        <v>534359.55999999982</v>
      </c>
      <c r="V518" s="11">
        <f>SUM(T518:U518)-R518</f>
        <v>0</v>
      </c>
    </row>
    <row r="519" spans="1:22" x14ac:dyDescent="0.3">
      <c r="E519" s="15"/>
      <c r="O519" s="118"/>
      <c r="V519" s="11"/>
    </row>
    <row r="520" spans="1:22" ht="15.5" x14ac:dyDescent="0.35">
      <c r="B520">
        <v>9</v>
      </c>
      <c r="C520" s="20">
        <f>+C514+1</f>
        <v>54</v>
      </c>
      <c r="D520" s="1" t="s">
        <v>14</v>
      </c>
      <c r="E520" s="25" t="s">
        <v>253</v>
      </c>
      <c r="O520" s="118"/>
      <c r="V520" s="11"/>
    </row>
    <row r="521" spans="1:22" x14ac:dyDescent="0.3">
      <c r="B521">
        <v>9.1</v>
      </c>
      <c r="E521" s="8" t="s">
        <v>8</v>
      </c>
      <c r="F521" s="3">
        <v>2822.08</v>
      </c>
      <c r="G521" s="3">
        <v>2822.08</v>
      </c>
      <c r="H521" s="3">
        <v>2822.08</v>
      </c>
      <c r="I521" s="3">
        <v>2822.08</v>
      </c>
      <c r="J521" s="3">
        <v>2822.08</v>
      </c>
      <c r="K521" s="3">
        <f>IF($B$520=12,'payment summary to Trustee'!$AW521,('payment summary to Trustee'!$BD521-'CDE Intercept  '!$T521)/4)</f>
        <v>4908.0174999999999</v>
      </c>
      <c r="L521" s="3">
        <f>IF($B$520=12,'payment summary to Trustee'!$AW521,('payment summary to Trustee'!$BD521-'CDE Intercept  '!$T521)/4)</f>
        <v>4908.0174999999999</v>
      </c>
      <c r="M521" s="3">
        <f>IF($B$520=12,'payment summary to Trustee'!$AW521,('payment summary to Trustee'!$BD521-'CDE Intercept  '!$T521)/4)</f>
        <v>4908.0174999999999</v>
      </c>
      <c r="N521" s="3">
        <v>0</v>
      </c>
      <c r="O521" s="118">
        <f>IF($B$520=12,'payment summary to Trustee'!$AW521,('payment summary to Trustee'!$BD521-'CDE Intercept  '!$T521)/4)</f>
        <v>4908.0174999999999</v>
      </c>
      <c r="P521" s="3">
        <v>0</v>
      </c>
      <c r="Q521" s="3">
        <v>0</v>
      </c>
      <c r="R521" s="3">
        <f>SUM(F521:Q521)</f>
        <v>33742.47</v>
      </c>
      <c r="T521" s="3">
        <f>SUM(F521:J521)</f>
        <v>14110.4</v>
      </c>
      <c r="U521" s="93">
        <f>SUM(K521:Q521)</f>
        <v>19632.07</v>
      </c>
      <c r="V521" s="11">
        <f>SUM(T521:U521)-R521</f>
        <v>0</v>
      </c>
    </row>
    <row r="522" spans="1:22" x14ac:dyDescent="0.3">
      <c r="B522">
        <v>9.1999999999999993</v>
      </c>
      <c r="E522" s="8" t="s">
        <v>9</v>
      </c>
      <c r="F522" s="3">
        <v>250</v>
      </c>
      <c r="G522" s="3">
        <v>0</v>
      </c>
      <c r="H522" s="3">
        <v>0</v>
      </c>
      <c r="I522" s="3">
        <v>0</v>
      </c>
      <c r="J522" s="3">
        <v>0</v>
      </c>
      <c r="K522" s="3">
        <f>IF($B$520=12,'payment summary to Trustee'!$AW522,('payment summary to Trustee'!$BD522-'CDE Intercept  '!$T522)/4)</f>
        <v>0</v>
      </c>
      <c r="L522" s="3">
        <f>IF($B$520=12,'payment summary to Trustee'!$AW522,('payment summary to Trustee'!$BD522-'CDE Intercept  '!$T522)/4)</f>
        <v>0</v>
      </c>
      <c r="M522" s="3">
        <f>IF($B$520=12,'payment summary to Trustee'!$AW522,('payment summary to Trustee'!$BD522-'CDE Intercept  '!$T522)/4)</f>
        <v>0</v>
      </c>
      <c r="N522" s="3">
        <v>0</v>
      </c>
      <c r="O522" s="118">
        <f>IF($B$520=12,'payment summary to Trustee'!$AW522,('payment summary to Trustee'!$BD522-'CDE Intercept  '!$T522)/4)</f>
        <v>0</v>
      </c>
      <c r="P522" s="3">
        <v>0</v>
      </c>
      <c r="Q522" s="3">
        <v>0</v>
      </c>
      <c r="R522" s="3">
        <f>SUM(F522:Q522)</f>
        <v>250</v>
      </c>
      <c r="T522" s="3">
        <f t="shared" ref="T522:T523" si="176">SUM(F522:J522)</f>
        <v>250</v>
      </c>
      <c r="U522" s="93">
        <f>SUM(K522:Q522)</f>
        <v>0</v>
      </c>
      <c r="V522" s="11">
        <f>SUM(T522:U522)-R522</f>
        <v>0</v>
      </c>
    </row>
    <row r="523" spans="1:22" ht="13.5" thickBot="1" x14ac:dyDescent="0.35">
      <c r="A523" t="s">
        <v>254</v>
      </c>
      <c r="B523">
        <v>9.3000000000000007</v>
      </c>
      <c r="E523" s="8" t="s">
        <v>10</v>
      </c>
      <c r="F523" s="3">
        <f>40833.33+136944.27</f>
        <v>177777.59999999998</v>
      </c>
      <c r="G523" s="3">
        <f>40833.33+136944.28</f>
        <v>177777.61</v>
      </c>
      <c r="H523" s="3">
        <f>40833.33+136944.27</f>
        <v>177777.59999999998</v>
      </c>
      <c r="I523" s="3">
        <f>40833.33+136944.27</f>
        <v>177777.59999999998</v>
      </c>
      <c r="J523" s="3">
        <f>40833.33+136944.27</f>
        <v>177777.59999999998</v>
      </c>
      <c r="K523" s="3">
        <f>IF($B$520=12,'payment summary to Trustee'!$AW523,('payment summary to Trustee'!$BD523-'CDE Intercept  '!$T523)/4)</f>
        <v>310737.38249999995</v>
      </c>
      <c r="L523" s="3">
        <f>IF($B$520=12,'payment summary to Trustee'!$AW523,('payment summary to Trustee'!$BD523-'CDE Intercept  '!$T523)/4)</f>
        <v>310737.38249999995</v>
      </c>
      <c r="M523" s="3">
        <f>IF($B$520=12,'payment summary to Trustee'!$AW523,('payment summary to Trustee'!$BD523-'CDE Intercept  '!$T523)/4)</f>
        <v>310737.38249999995</v>
      </c>
      <c r="N523" s="3">
        <v>0</v>
      </c>
      <c r="O523" s="118">
        <f>IF($B$520=12,'payment summary to Trustee'!$AW523,('payment summary to Trustee'!$BD523-'CDE Intercept  '!$T523)/4)</f>
        <v>310737.38249999995</v>
      </c>
      <c r="P523" s="3">
        <v>0</v>
      </c>
      <c r="Q523" s="3">
        <v>0</v>
      </c>
      <c r="R523" s="3">
        <f>SUM(F523:Q523)</f>
        <v>2131837.5399999996</v>
      </c>
      <c r="T523" s="3">
        <f t="shared" si="176"/>
        <v>888888.00999999989</v>
      </c>
      <c r="U523" s="94">
        <f>SUM(K523:Q523)</f>
        <v>1242949.5299999998</v>
      </c>
      <c r="V523" s="11">
        <f>SUM(T523:U523)-R523</f>
        <v>0</v>
      </c>
    </row>
    <row r="524" spans="1:22" ht="13.5" thickBot="1" x14ac:dyDescent="0.35">
      <c r="E524" s="13" t="s">
        <v>255</v>
      </c>
      <c r="F524" s="22">
        <f t="shared" ref="F524:R524" si="177">SUM(F521:F523)</f>
        <v>180849.67999999996</v>
      </c>
      <c r="G524" s="22">
        <f t="shared" si="177"/>
        <v>180599.68999999997</v>
      </c>
      <c r="H524" s="22">
        <f t="shared" si="177"/>
        <v>180599.67999999996</v>
      </c>
      <c r="I524" s="22">
        <f t="shared" si="177"/>
        <v>180599.67999999996</v>
      </c>
      <c r="J524" s="22">
        <f t="shared" si="177"/>
        <v>180599.67999999996</v>
      </c>
      <c r="K524" s="22">
        <f t="shared" si="177"/>
        <v>315645.39999999997</v>
      </c>
      <c r="L524" s="22">
        <f t="shared" si="177"/>
        <v>315645.39999999997</v>
      </c>
      <c r="M524" s="22">
        <f t="shared" si="177"/>
        <v>315645.39999999997</v>
      </c>
      <c r="N524" s="22">
        <f t="shared" si="177"/>
        <v>0</v>
      </c>
      <c r="O524" s="119">
        <f t="shared" si="177"/>
        <v>315645.39999999997</v>
      </c>
      <c r="P524" s="22">
        <f t="shared" ref="P524" si="178">SUM(P521:P523)</f>
        <v>0</v>
      </c>
      <c r="Q524" s="22">
        <f t="shared" si="177"/>
        <v>0</v>
      </c>
      <c r="R524" s="22">
        <f t="shared" si="177"/>
        <v>2165830.0099999998</v>
      </c>
      <c r="T524" s="39">
        <f>SUM(T521:T523)</f>
        <v>903248.40999999992</v>
      </c>
      <c r="U524" s="78">
        <f>SUM(U521:U523)</f>
        <v>1262581.5999999999</v>
      </c>
      <c r="V524" s="11">
        <f>SUM(T524:U524)-R524</f>
        <v>0</v>
      </c>
    </row>
    <row r="525" spans="1:22" x14ac:dyDescent="0.3">
      <c r="E525" s="15"/>
      <c r="O525" s="118"/>
      <c r="V525" s="8"/>
    </row>
    <row r="526" spans="1:22" ht="15.5" x14ac:dyDescent="0.35">
      <c r="B526">
        <v>12</v>
      </c>
      <c r="C526" s="20">
        <f>+C520+1</f>
        <v>55</v>
      </c>
      <c r="D526" s="1" t="s">
        <v>14</v>
      </c>
      <c r="E526" s="25" t="s">
        <v>256</v>
      </c>
      <c r="O526" s="118"/>
    </row>
    <row r="527" spans="1:22" x14ac:dyDescent="0.3">
      <c r="B527">
        <v>12.1</v>
      </c>
      <c r="E527" s="8" t="s">
        <v>8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118">
        <v>0</v>
      </c>
      <c r="P527" s="3">
        <v>0</v>
      </c>
      <c r="Q527" s="3">
        <v>0</v>
      </c>
      <c r="R527" s="3">
        <f>SUM(F527:Q527)</f>
        <v>0</v>
      </c>
      <c r="T527" s="3">
        <f>SUM(F527:J527)</f>
        <v>0</v>
      </c>
      <c r="U527" s="93">
        <f>SUM(K527:Q527)</f>
        <v>0</v>
      </c>
      <c r="V527" s="11">
        <f>SUM(T527:U527)-R527</f>
        <v>0</v>
      </c>
    </row>
    <row r="528" spans="1:22" x14ac:dyDescent="0.3">
      <c r="B528">
        <v>12.2</v>
      </c>
      <c r="E528" s="8" t="s">
        <v>9</v>
      </c>
      <c r="F528" s="3">
        <v>250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118">
        <v>0</v>
      </c>
      <c r="P528" s="3">
        <v>0</v>
      </c>
      <c r="Q528" s="3">
        <v>0</v>
      </c>
      <c r="R528" s="3">
        <f>SUM(F528:Q528)</f>
        <v>250</v>
      </c>
      <c r="T528" s="3">
        <f t="shared" ref="T528:T529" si="179">SUM(F528:J528)</f>
        <v>250</v>
      </c>
      <c r="U528" s="93">
        <f>SUM(K528:Q528)</f>
        <v>0</v>
      </c>
      <c r="V528" s="11">
        <f>SUM(T528:U528)-R528</f>
        <v>0</v>
      </c>
    </row>
    <row r="529" spans="1:22" ht="13.5" thickBot="1" x14ac:dyDescent="0.35">
      <c r="A529" t="s">
        <v>257</v>
      </c>
      <c r="B529">
        <v>12.3</v>
      </c>
      <c r="E529" s="8" t="s">
        <v>10</v>
      </c>
      <c r="F529" s="3">
        <v>18702.38</v>
      </c>
      <c r="G529" s="3">
        <v>18702.38</v>
      </c>
      <c r="H529" s="3">
        <v>18702.38</v>
      </c>
      <c r="I529" s="3">
        <v>18702.38</v>
      </c>
      <c r="J529" s="3">
        <v>18702.38</v>
      </c>
      <c r="K529" s="3">
        <v>18702.38</v>
      </c>
      <c r="L529" s="3">
        <v>18702.38</v>
      </c>
      <c r="M529" s="3">
        <v>18702.38</v>
      </c>
      <c r="N529" s="3">
        <v>18702.38</v>
      </c>
      <c r="O529" s="118">
        <v>18702.38</v>
      </c>
      <c r="P529" s="3">
        <v>18702.38</v>
      </c>
      <c r="Q529" s="3">
        <v>18702.38</v>
      </c>
      <c r="R529" s="3">
        <f>SUM(F529:Q529)</f>
        <v>224428.56000000003</v>
      </c>
      <c r="T529" s="3">
        <f t="shared" si="179"/>
        <v>93511.900000000009</v>
      </c>
      <c r="U529" s="94">
        <f>SUM(K529:Q529)</f>
        <v>130916.66000000002</v>
      </c>
      <c r="V529" s="11">
        <f>SUM(T529:U529)-R529</f>
        <v>0</v>
      </c>
    </row>
    <row r="530" spans="1:22" ht="13.5" thickBot="1" x14ac:dyDescent="0.35">
      <c r="E530" s="13" t="s">
        <v>258</v>
      </c>
      <c r="F530" s="22">
        <f t="shared" ref="F530:R530" si="180">SUM(F527:F529)</f>
        <v>18952.38</v>
      </c>
      <c r="G530" s="22">
        <f t="shared" si="180"/>
        <v>18702.38</v>
      </c>
      <c r="H530" s="22">
        <f t="shared" si="180"/>
        <v>18702.38</v>
      </c>
      <c r="I530" s="22">
        <f t="shared" si="180"/>
        <v>18702.38</v>
      </c>
      <c r="J530" s="22">
        <f t="shared" si="180"/>
        <v>18702.38</v>
      </c>
      <c r="K530" s="22">
        <f t="shared" si="180"/>
        <v>18702.38</v>
      </c>
      <c r="L530" s="22">
        <f t="shared" si="180"/>
        <v>18702.38</v>
      </c>
      <c r="M530" s="22">
        <f t="shared" si="180"/>
        <v>18702.38</v>
      </c>
      <c r="N530" s="22">
        <f t="shared" si="180"/>
        <v>18702.38</v>
      </c>
      <c r="O530" s="119">
        <f t="shared" si="180"/>
        <v>18702.38</v>
      </c>
      <c r="P530" s="22">
        <f t="shared" si="180"/>
        <v>18702.38</v>
      </c>
      <c r="Q530" s="22">
        <f t="shared" si="180"/>
        <v>18702.38</v>
      </c>
      <c r="R530" s="22">
        <f t="shared" si="180"/>
        <v>224678.56000000003</v>
      </c>
      <c r="T530" s="39">
        <f>SUM(T527:T529)</f>
        <v>93761.900000000009</v>
      </c>
      <c r="U530" s="78">
        <f>SUM(U527:U529)</f>
        <v>130916.66000000002</v>
      </c>
      <c r="V530" s="11">
        <f>SUM(T530:U530)-R530</f>
        <v>0</v>
      </c>
    </row>
    <row r="531" spans="1:22" x14ac:dyDescent="0.3">
      <c r="E531" s="15"/>
      <c r="O531" s="118"/>
    </row>
    <row r="532" spans="1:22" ht="15.5" x14ac:dyDescent="0.35">
      <c r="C532" s="20"/>
      <c r="D532" s="32" t="s">
        <v>6</v>
      </c>
      <c r="E532" s="10" t="s">
        <v>259</v>
      </c>
      <c r="O532" s="118"/>
    </row>
    <row r="533" spans="1:22" x14ac:dyDescent="0.3">
      <c r="E533" s="8" t="s">
        <v>8</v>
      </c>
      <c r="O533" s="118"/>
    </row>
    <row r="534" spans="1:22" x14ac:dyDescent="0.3">
      <c r="E534" s="8" t="s">
        <v>9</v>
      </c>
      <c r="O534" s="118"/>
    </row>
    <row r="535" spans="1:22" ht="13.5" thickBot="1" x14ac:dyDescent="0.35">
      <c r="A535" t="s">
        <v>260</v>
      </c>
      <c r="E535" s="8" t="s">
        <v>10</v>
      </c>
      <c r="O535" s="118"/>
    </row>
    <row r="536" spans="1:22" ht="13.5" thickBot="1" x14ac:dyDescent="0.35">
      <c r="E536" s="13" t="s">
        <v>261</v>
      </c>
      <c r="O536" s="118"/>
    </row>
    <row r="537" spans="1:22" x14ac:dyDescent="0.3">
      <c r="E537" s="15"/>
      <c r="O537" s="118"/>
    </row>
    <row r="538" spans="1:22" ht="15.5" x14ac:dyDescent="0.35">
      <c r="B538">
        <v>9</v>
      </c>
      <c r="C538" s="20">
        <f>+C526+1</f>
        <v>56</v>
      </c>
      <c r="D538" s="1" t="s">
        <v>14</v>
      </c>
      <c r="E538" s="25" t="s">
        <v>262</v>
      </c>
      <c r="O538" s="118"/>
    </row>
    <row r="539" spans="1:22" x14ac:dyDescent="0.3">
      <c r="B539">
        <v>9.1</v>
      </c>
      <c r="E539" s="8" t="s">
        <v>8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f>IF($B$538=12,'payment summary to Trustee'!$AW539,('payment summary to Trustee'!$BD539-'CDE Intercept  '!$T539)/4)</f>
        <v>0</v>
      </c>
      <c r="L539" s="3">
        <f>IF($B$538=12,'payment summary to Trustee'!$AW539,('payment summary to Trustee'!$BD539-'CDE Intercept  '!$T539)/4)</f>
        <v>0</v>
      </c>
      <c r="M539" s="3">
        <f>IF($B$538=12,'payment summary to Trustee'!$AW539,('payment summary to Trustee'!$BD539-'CDE Intercept  '!$T539)/4)</f>
        <v>0</v>
      </c>
      <c r="N539" s="3">
        <v>0</v>
      </c>
      <c r="O539" s="118">
        <f>IF($B$538=12,'payment summary to Trustee'!$AW539,('payment summary to Trustee'!$BD539-'CDE Intercept  '!$T539)/4)</f>
        <v>0</v>
      </c>
      <c r="P539" s="3">
        <v>0</v>
      </c>
      <c r="Q539" s="3">
        <v>0</v>
      </c>
      <c r="R539" s="3">
        <f>SUM(F539:Q539)</f>
        <v>0</v>
      </c>
      <c r="T539" s="3">
        <f>SUM(F539:J539)</f>
        <v>0</v>
      </c>
      <c r="U539" s="93">
        <f>SUM(K539:Q539)</f>
        <v>0</v>
      </c>
      <c r="V539" s="11">
        <f>SUM(T539:U539)-R539</f>
        <v>0</v>
      </c>
    </row>
    <row r="540" spans="1:22" x14ac:dyDescent="0.3">
      <c r="B540">
        <v>9.1999999999999993</v>
      </c>
      <c r="E540" s="8" t="s">
        <v>9</v>
      </c>
      <c r="F540" s="3">
        <v>250</v>
      </c>
      <c r="G540" s="3">
        <v>0</v>
      </c>
      <c r="H540" s="3">
        <v>0</v>
      </c>
      <c r="I540" s="3">
        <v>0</v>
      </c>
      <c r="J540" s="3">
        <v>0</v>
      </c>
      <c r="K540" s="3">
        <f>IF($B$538=12,'payment summary to Trustee'!$AW540,('payment summary to Trustee'!$BD540-'CDE Intercept  '!$T540)/4)</f>
        <v>0</v>
      </c>
      <c r="L540" s="3">
        <f>IF($B$538=12,'payment summary to Trustee'!$AW540,('payment summary to Trustee'!$BD540-'CDE Intercept  '!$T540)/4)</f>
        <v>0</v>
      </c>
      <c r="M540" s="3">
        <f>IF($B$538=12,'payment summary to Trustee'!$AW540,('payment summary to Trustee'!$BD540-'CDE Intercept  '!$T540)/4)</f>
        <v>0</v>
      </c>
      <c r="N540" s="3">
        <v>0</v>
      </c>
      <c r="O540" s="118">
        <f>IF($B$538=12,'payment summary to Trustee'!$AW540,('payment summary to Trustee'!$BD540-'CDE Intercept  '!$T540)/4)</f>
        <v>0</v>
      </c>
      <c r="P540" s="3">
        <v>0</v>
      </c>
      <c r="Q540" s="3">
        <v>0</v>
      </c>
      <c r="R540" s="3">
        <f>SUM(F540:Q540)</f>
        <v>250</v>
      </c>
      <c r="T540" s="3">
        <f t="shared" ref="T540:T541" si="181">SUM(F540:J540)</f>
        <v>250</v>
      </c>
      <c r="U540" s="93">
        <f>SUM(K540:Q540)</f>
        <v>0</v>
      </c>
      <c r="V540" s="11">
        <f>SUM(T540:U540)-R540</f>
        <v>0</v>
      </c>
    </row>
    <row r="541" spans="1:22" ht="13.5" thickBot="1" x14ac:dyDescent="0.35">
      <c r="A541" t="s">
        <v>263</v>
      </c>
      <c r="B541">
        <v>9.3000000000000007</v>
      </c>
      <c r="E541" s="8" t="s">
        <v>10</v>
      </c>
      <c r="F541" s="3">
        <f>42083.33+89643.75</f>
        <v>131727.08000000002</v>
      </c>
      <c r="G541" s="3">
        <f>42083.33+89643.75</f>
        <v>131727.08000000002</v>
      </c>
      <c r="H541" s="3">
        <f t="shared" ref="H541:J541" si="182">42083.33+89643.75</f>
        <v>131727.08000000002</v>
      </c>
      <c r="I541" s="3">
        <f t="shared" si="182"/>
        <v>131727.08000000002</v>
      </c>
      <c r="J541" s="3">
        <f t="shared" si="182"/>
        <v>131727.08000000002</v>
      </c>
      <c r="K541" s="3">
        <f>IF($B$538=12,'payment summary to Trustee'!$AW541,('payment summary to Trustee'!$BD541-'CDE Intercept  '!$T541)/4)</f>
        <v>230465.63000000006</v>
      </c>
      <c r="L541" s="3">
        <f>IF($B$538=12,'payment summary to Trustee'!$AW541,('payment summary to Trustee'!$BD541-'CDE Intercept  '!$T541)/4)</f>
        <v>230465.63000000006</v>
      </c>
      <c r="M541" s="3">
        <f>IF($B$538=12,'payment summary to Trustee'!$AW541,('payment summary to Trustee'!$BD541-'CDE Intercept  '!$T541)/4)</f>
        <v>230465.63000000006</v>
      </c>
      <c r="N541" s="3">
        <v>0</v>
      </c>
      <c r="O541" s="118">
        <f>IF($B$538=12,'payment summary to Trustee'!$AW541,('payment summary to Trustee'!$BD541-'CDE Intercept  '!$T541)/4)</f>
        <v>230465.63000000006</v>
      </c>
      <c r="P541" s="3">
        <v>0</v>
      </c>
      <c r="Q541" s="3">
        <v>0</v>
      </c>
      <c r="R541" s="3">
        <f>SUM(F541:Q541)</f>
        <v>1580497.9200000006</v>
      </c>
      <c r="T541" s="3">
        <f t="shared" si="181"/>
        <v>658635.40000000014</v>
      </c>
      <c r="U541" s="94">
        <f>SUM(K541:Q541)</f>
        <v>921862.52000000025</v>
      </c>
      <c r="V541" s="11">
        <f>SUM(T541:U541)-R541</f>
        <v>0</v>
      </c>
    </row>
    <row r="542" spans="1:22" ht="13.5" thickBot="1" x14ac:dyDescent="0.35">
      <c r="E542" s="13" t="s">
        <v>264</v>
      </c>
      <c r="F542" s="22">
        <f t="shared" ref="F542:R542" si="183">SUM(F539:F541)</f>
        <v>131977.08000000002</v>
      </c>
      <c r="G542" s="22">
        <f t="shared" si="183"/>
        <v>131727.08000000002</v>
      </c>
      <c r="H542" s="22">
        <f t="shared" si="183"/>
        <v>131727.08000000002</v>
      </c>
      <c r="I542" s="22">
        <f t="shared" si="183"/>
        <v>131727.08000000002</v>
      </c>
      <c r="J542" s="22">
        <f t="shared" si="183"/>
        <v>131727.08000000002</v>
      </c>
      <c r="K542" s="22">
        <f t="shared" si="183"/>
        <v>230465.63000000006</v>
      </c>
      <c r="L542" s="22">
        <f t="shared" si="183"/>
        <v>230465.63000000006</v>
      </c>
      <c r="M542" s="22">
        <f t="shared" si="183"/>
        <v>230465.63000000006</v>
      </c>
      <c r="N542" s="22">
        <f t="shared" si="183"/>
        <v>0</v>
      </c>
      <c r="O542" s="119">
        <f t="shared" si="183"/>
        <v>230465.63000000006</v>
      </c>
      <c r="P542" s="22">
        <f t="shared" ref="P542" si="184">SUM(P539:P541)</f>
        <v>0</v>
      </c>
      <c r="Q542" s="22">
        <f t="shared" si="183"/>
        <v>0</v>
      </c>
      <c r="R542" s="22">
        <f t="shared" si="183"/>
        <v>1580747.9200000006</v>
      </c>
      <c r="T542" s="39">
        <f>SUM(T539:T541)</f>
        <v>658885.40000000014</v>
      </c>
      <c r="U542" s="78">
        <f>SUM(U539:U541)</f>
        <v>921862.52000000025</v>
      </c>
      <c r="V542" s="11">
        <f>SUM(T542:U542)-R542</f>
        <v>0</v>
      </c>
    </row>
    <row r="543" spans="1:22" x14ac:dyDescent="0.3">
      <c r="E543" s="15"/>
      <c r="O543" s="118"/>
    </row>
    <row r="544" spans="1:22" ht="15.5" x14ac:dyDescent="0.35">
      <c r="B544">
        <v>9</v>
      </c>
      <c r="C544" s="20">
        <f>+C538+1</f>
        <v>57</v>
      </c>
      <c r="D544" s="1" t="s">
        <v>14</v>
      </c>
      <c r="E544" s="25" t="s">
        <v>265</v>
      </c>
      <c r="O544" s="118"/>
    </row>
    <row r="545" spans="1:22" x14ac:dyDescent="0.3">
      <c r="B545">
        <v>9.1</v>
      </c>
      <c r="E545" s="8" t="s">
        <v>8</v>
      </c>
      <c r="F545" s="3">
        <v>4496.25</v>
      </c>
      <c r="G545" s="3">
        <v>4496.25</v>
      </c>
      <c r="H545" s="3">
        <v>4496.25</v>
      </c>
      <c r="I545" s="3">
        <v>4496.25</v>
      </c>
      <c r="J545" s="3">
        <v>4496.25</v>
      </c>
      <c r="K545" s="3">
        <v>7868.4375</v>
      </c>
      <c r="L545" s="3">
        <v>7868.4375</v>
      </c>
      <c r="M545" s="3">
        <v>7868.4375</v>
      </c>
      <c r="N545" s="3">
        <v>0</v>
      </c>
      <c r="O545" s="118">
        <f>7868.44-120</f>
        <v>7748.44</v>
      </c>
      <c r="P545" s="3">
        <v>0</v>
      </c>
      <c r="Q545" s="3">
        <v>0</v>
      </c>
      <c r="R545" s="3">
        <f>SUM(F545:Q545)</f>
        <v>53835.002500000002</v>
      </c>
      <c r="T545" s="3">
        <f>SUM(F545:J545)</f>
        <v>22481.25</v>
      </c>
      <c r="U545" s="93">
        <f>SUM(K545:Q545)</f>
        <v>31353.752499999999</v>
      </c>
      <c r="V545" s="11">
        <f>SUM(T545:U545)-R545</f>
        <v>0</v>
      </c>
    </row>
    <row r="546" spans="1:22" x14ac:dyDescent="0.3">
      <c r="B546">
        <v>9.1999999999999993</v>
      </c>
      <c r="E546" s="8" t="s">
        <v>9</v>
      </c>
      <c r="F546" s="3">
        <v>250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118">
        <v>0</v>
      </c>
      <c r="P546" s="3">
        <v>0</v>
      </c>
      <c r="Q546" s="3">
        <v>0</v>
      </c>
      <c r="R546" s="3">
        <f>SUM(F546:Q546)</f>
        <v>250</v>
      </c>
      <c r="T546" s="3">
        <f t="shared" ref="T546:T547" si="185">SUM(F546:J546)</f>
        <v>250</v>
      </c>
      <c r="U546" s="93">
        <f>SUM(K546:Q546)</f>
        <v>0</v>
      </c>
      <c r="V546" s="11">
        <f>SUM(T546:U546)-R546</f>
        <v>0</v>
      </c>
    </row>
    <row r="547" spans="1:22" ht="13.5" thickBot="1" x14ac:dyDescent="0.35">
      <c r="A547" t="s">
        <v>266</v>
      </c>
      <c r="B547">
        <v>9.3000000000000007</v>
      </c>
      <c r="E547" s="8" t="s">
        <v>10</v>
      </c>
      <c r="F547" s="3">
        <f>60000+223966.67</f>
        <v>283966.67000000004</v>
      </c>
      <c r="G547" s="3">
        <f>60000+223966.67</f>
        <v>283966.67000000004</v>
      </c>
      <c r="H547" s="3">
        <f t="shared" ref="H547:I547" si="186">60000+223966.67</f>
        <v>283966.67000000004</v>
      </c>
      <c r="I547" s="3">
        <f t="shared" si="186"/>
        <v>283966.67000000004</v>
      </c>
      <c r="J547" s="3">
        <f>60000+223966.65</f>
        <v>283966.65000000002</v>
      </c>
      <c r="K547" s="3">
        <v>497524.995</v>
      </c>
      <c r="L547" s="3">
        <v>497524.995</v>
      </c>
      <c r="M547" s="3">
        <v>497524.995</v>
      </c>
      <c r="N547" s="3">
        <v>0</v>
      </c>
      <c r="O547" s="118">
        <v>497524.995</v>
      </c>
      <c r="P547" s="3">
        <v>0</v>
      </c>
      <c r="Q547" s="3">
        <v>0</v>
      </c>
      <c r="R547" s="3">
        <f>SUM(F547:Q547)</f>
        <v>3409933.3100000005</v>
      </c>
      <c r="T547" s="3">
        <f t="shared" si="185"/>
        <v>1419833.33</v>
      </c>
      <c r="U547" s="94">
        <f>SUM(K547:Q547)</f>
        <v>1990099.98</v>
      </c>
      <c r="V547" s="11">
        <f>SUM(T547:U547)-R547</f>
        <v>0</v>
      </c>
    </row>
    <row r="548" spans="1:22" ht="13.5" thickBot="1" x14ac:dyDescent="0.35">
      <c r="E548" s="13" t="s">
        <v>267</v>
      </c>
      <c r="F548" s="22">
        <f t="shared" ref="F548:R548" si="187">SUM(F545:F547)</f>
        <v>288712.92000000004</v>
      </c>
      <c r="G548" s="22">
        <f t="shared" si="187"/>
        <v>288462.92000000004</v>
      </c>
      <c r="H548" s="22">
        <f t="shared" si="187"/>
        <v>288462.92000000004</v>
      </c>
      <c r="I548" s="22">
        <f t="shared" si="187"/>
        <v>288462.92000000004</v>
      </c>
      <c r="J548" s="22">
        <f t="shared" si="187"/>
        <v>288462.90000000002</v>
      </c>
      <c r="K548" s="22">
        <f t="shared" si="187"/>
        <v>505393.4325</v>
      </c>
      <c r="L548" s="22">
        <f t="shared" si="187"/>
        <v>505393.4325</v>
      </c>
      <c r="M548" s="22">
        <f t="shared" si="187"/>
        <v>505393.4325</v>
      </c>
      <c r="N548" s="22">
        <f t="shared" si="187"/>
        <v>0</v>
      </c>
      <c r="O548" s="119">
        <f t="shared" si="187"/>
        <v>505273.435</v>
      </c>
      <c r="P548" s="22">
        <f t="shared" ref="P548" si="188">SUM(P545:P547)</f>
        <v>0</v>
      </c>
      <c r="Q548" s="22">
        <f t="shared" si="187"/>
        <v>0</v>
      </c>
      <c r="R548" s="22">
        <f t="shared" si="187"/>
        <v>3464018.3125000005</v>
      </c>
      <c r="T548" s="39">
        <f>SUM(T545:T547)</f>
        <v>1442564.58</v>
      </c>
      <c r="U548" s="78">
        <f>SUM(U545:U547)</f>
        <v>2021453.7324999999</v>
      </c>
      <c r="V548" s="11">
        <f>SUM(T548:U548)-R548</f>
        <v>0</v>
      </c>
    </row>
    <row r="549" spans="1:22" x14ac:dyDescent="0.3">
      <c r="E549" s="15"/>
      <c r="O549" s="118"/>
    </row>
    <row r="550" spans="1:22" ht="15.5" x14ac:dyDescent="0.35">
      <c r="B550">
        <v>12</v>
      </c>
      <c r="C550" s="20">
        <f>+C544+1</f>
        <v>58</v>
      </c>
      <c r="D550" s="1" t="s">
        <v>14</v>
      </c>
      <c r="E550" s="25" t="s">
        <v>268</v>
      </c>
      <c r="O550" s="118"/>
    </row>
    <row r="551" spans="1:22" x14ac:dyDescent="0.3">
      <c r="B551">
        <v>12.1</v>
      </c>
      <c r="E551" s="8" t="s">
        <v>8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60">
        <f>IF($B$550=12,'payment summary to Trustee'!$AW551,('payment summary to Trustee'!$BD551-'CDE Intercept  '!$T551)/4)</f>
        <v>0</v>
      </c>
      <c r="L551" s="3">
        <f>IF($B$550=12,'payment summary to Trustee'!$AW551,('payment summary to Trustee'!$BD551-'CDE Intercept  '!$T551)/4)</f>
        <v>0</v>
      </c>
      <c r="M551" s="3">
        <f>IF($B$550=12,'payment summary to Trustee'!$AW551,('payment summary to Trustee'!$BD551-'CDE Intercept  '!$T551)/4)</f>
        <v>0</v>
      </c>
      <c r="N551" s="3">
        <f>IF($B$550=12,'payment summary to Trustee'!$AW551,('payment summary to Trustee'!$BD551-'CDE Intercept  '!$T551)/4)</f>
        <v>0</v>
      </c>
      <c r="O551" s="118">
        <v>0</v>
      </c>
      <c r="P551" s="3">
        <v>0</v>
      </c>
      <c r="Q551" s="3">
        <v>0</v>
      </c>
      <c r="R551" s="3">
        <f>SUM(F551:Q551)</f>
        <v>0</v>
      </c>
      <c r="T551" s="3">
        <f>SUM(F551:J551)</f>
        <v>0</v>
      </c>
      <c r="U551" s="93">
        <f>SUM(K551:Q551)</f>
        <v>0</v>
      </c>
      <c r="V551" s="11">
        <f>SUM(T551:U551)-R551</f>
        <v>0</v>
      </c>
    </row>
    <row r="552" spans="1:22" x14ac:dyDescent="0.3">
      <c r="B552">
        <v>12.2</v>
      </c>
      <c r="E552" s="8" t="s">
        <v>9</v>
      </c>
      <c r="F552" s="3">
        <v>250</v>
      </c>
      <c r="G552" s="3">
        <v>0</v>
      </c>
      <c r="H552" s="3">
        <v>0</v>
      </c>
      <c r="I552" s="3">
        <v>0</v>
      </c>
      <c r="J552" s="3">
        <v>0</v>
      </c>
      <c r="K552" s="60">
        <f>IF($B$550=12,'payment summary to Trustee'!$AW552,('payment summary to Trustee'!$BD552-'CDE Intercept  '!$T552)/4)</f>
        <v>0</v>
      </c>
      <c r="L552" s="3">
        <f>IF($B$550=12,'payment summary to Trustee'!$AW552,('payment summary to Trustee'!$BD552-'CDE Intercept  '!$T552)/4)</f>
        <v>0</v>
      </c>
      <c r="M552" s="3">
        <f>IF($B$550=12,'payment summary to Trustee'!$AW552,('payment summary to Trustee'!$BD552-'CDE Intercept  '!$T552)/4)</f>
        <v>0</v>
      </c>
      <c r="N552" s="3">
        <f>IF($B$550=12,'payment summary to Trustee'!$AW552,('payment summary to Trustee'!$BD552-'CDE Intercept  '!$T552)/4)</f>
        <v>0</v>
      </c>
      <c r="O552" s="118">
        <v>0</v>
      </c>
      <c r="P552" s="3">
        <v>0</v>
      </c>
      <c r="Q552" s="3">
        <v>0</v>
      </c>
      <c r="R552" s="3">
        <f>SUM(F552:Q552)</f>
        <v>250</v>
      </c>
      <c r="T552" s="3">
        <f t="shared" ref="T552:T553" si="189">SUM(F552:J552)</f>
        <v>250</v>
      </c>
      <c r="U552" s="93">
        <f>SUM(K552:Q552)</f>
        <v>0</v>
      </c>
      <c r="V552" s="11">
        <f>SUM(T552:U552)-R552</f>
        <v>0</v>
      </c>
    </row>
    <row r="553" spans="1:22" ht="13.5" thickBot="1" x14ac:dyDescent="0.35">
      <c r="A553" t="s">
        <v>269</v>
      </c>
      <c r="B553">
        <v>12.3</v>
      </c>
      <c r="E553" s="8" t="s">
        <v>10</v>
      </c>
      <c r="F553" s="3">
        <f>101000+84246.5</f>
        <v>185246.5</v>
      </c>
      <c r="G553" s="3">
        <f>100000+83918.25</f>
        <v>183918.25</v>
      </c>
      <c r="H553" s="3">
        <f>100000+83593.25</f>
        <v>183593.25</v>
      </c>
      <c r="I553" s="3">
        <f>100000+83268.25</f>
        <v>183268.25</v>
      </c>
      <c r="J553" s="3">
        <f>100000+82943.25</f>
        <v>182943.25</v>
      </c>
      <c r="K553" s="60">
        <v>314425.25</v>
      </c>
      <c r="L553" s="65">
        <f>97000+82299.75-133807</f>
        <v>45492.75</v>
      </c>
      <c r="M553" s="65">
        <f>97000+81984.5</f>
        <v>178984.5</v>
      </c>
      <c r="N553" s="65">
        <f>97000+81669.25</f>
        <v>178669.25</v>
      </c>
      <c r="O553" s="121">
        <f>96000+81354</f>
        <v>177354</v>
      </c>
      <c r="P553" s="65">
        <f>95000+81042</f>
        <v>176042</v>
      </c>
      <c r="Q553" s="65">
        <f>106000+80733.25</f>
        <v>186733.25</v>
      </c>
      <c r="R553" s="3">
        <f>SUM(F553:Q553)</f>
        <v>2176670.5</v>
      </c>
      <c r="T553" s="3">
        <f t="shared" si="189"/>
        <v>918969.5</v>
      </c>
      <c r="U553" s="94">
        <f>SUM(K553:Q553)</f>
        <v>1257701</v>
      </c>
      <c r="V553" s="11">
        <f>SUM(T553:U553)-R553</f>
        <v>0</v>
      </c>
    </row>
    <row r="554" spans="1:22" ht="13.5" thickBot="1" x14ac:dyDescent="0.35">
      <c r="E554" s="13" t="s">
        <v>270</v>
      </c>
      <c r="F554" s="22">
        <f t="shared" ref="F554:R554" si="190">SUM(F551:F553)</f>
        <v>185496.5</v>
      </c>
      <c r="G554" s="22">
        <f t="shared" si="190"/>
        <v>183918.25</v>
      </c>
      <c r="H554" s="22">
        <f t="shared" si="190"/>
        <v>183593.25</v>
      </c>
      <c r="I554" s="22">
        <f t="shared" si="190"/>
        <v>183268.25</v>
      </c>
      <c r="J554" s="22">
        <f t="shared" si="190"/>
        <v>182943.25</v>
      </c>
      <c r="K554" s="98">
        <f t="shared" si="190"/>
        <v>314425.25</v>
      </c>
      <c r="L554" s="22">
        <f t="shared" si="190"/>
        <v>45492.75</v>
      </c>
      <c r="M554" s="22">
        <f t="shared" si="190"/>
        <v>178984.5</v>
      </c>
      <c r="N554" s="22">
        <f t="shared" si="190"/>
        <v>178669.25</v>
      </c>
      <c r="O554" s="119">
        <f t="shared" si="190"/>
        <v>177354</v>
      </c>
      <c r="P554" s="22">
        <f t="shared" si="190"/>
        <v>176042</v>
      </c>
      <c r="Q554" s="22">
        <f t="shared" si="190"/>
        <v>186733.25</v>
      </c>
      <c r="R554" s="22">
        <f t="shared" si="190"/>
        <v>2176920.5</v>
      </c>
      <c r="T554" s="39">
        <f>SUM(T551:T553)</f>
        <v>919219.5</v>
      </c>
      <c r="U554" s="78">
        <f>SUM(U551:U553)</f>
        <v>1257701</v>
      </c>
      <c r="V554" s="11">
        <f>SUM(T554:U554)-R554</f>
        <v>0</v>
      </c>
    </row>
    <row r="555" spans="1:22" x14ac:dyDescent="0.3">
      <c r="E555" s="15"/>
      <c r="O555" s="118"/>
    </row>
    <row r="556" spans="1:22" ht="15.5" x14ac:dyDescent="0.35">
      <c r="B556">
        <v>9</v>
      </c>
      <c r="C556" s="20">
        <f>+C550+1</f>
        <v>59</v>
      </c>
      <c r="D556" s="1" t="s">
        <v>14</v>
      </c>
      <c r="E556" s="25" t="s">
        <v>271</v>
      </c>
      <c r="O556" s="118"/>
    </row>
    <row r="557" spans="1:22" x14ac:dyDescent="0.3">
      <c r="B557">
        <v>9.1</v>
      </c>
      <c r="E557" s="8" t="s">
        <v>8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f>IF($B$556=12,'payment summary to Trustee'!$AW557,('payment summary to Trustee'!$BD557-'CDE Intercept  '!$T557)/4)</f>
        <v>0</v>
      </c>
      <c r="L557" s="3">
        <f>IF($B$556=12,'payment summary to Trustee'!$AW557,('payment summary to Trustee'!$BD557-'CDE Intercept  '!$T557)/4)</f>
        <v>0</v>
      </c>
      <c r="M557" s="3">
        <f>IF($B$556=12,'payment summary to Trustee'!$AW557,('payment summary to Trustee'!$BD557-'CDE Intercept  '!$T557)/4)</f>
        <v>0</v>
      </c>
      <c r="N557" s="3">
        <v>0</v>
      </c>
      <c r="O557" s="118">
        <f>IF($B$556=12,'payment summary to Trustee'!$AW557,('payment summary to Trustee'!$BD557-'CDE Intercept  '!$T557)/4)</f>
        <v>0</v>
      </c>
      <c r="P557" s="3">
        <v>0</v>
      </c>
      <c r="Q557" s="3">
        <v>0</v>
      </c>
      <c r="R557" s="3">
        <f>SUM(F557:Q557)</f>
        <v>0</v>
      </c>
      <c r="T557" s="3">
        <f>SUM(F557:J557)</f>
        <v>0</v>
      </c>
      <c r="U557" s="93">
        <f>SUM(K557:Q557)</f>
        <v>0</v>
      </c>
      <c r="V557" s="11">
        <f>SUM(T557:U557)-R557</f>
        <v>0</v>
      </c>
    </row>
    <row r="558" spans="1:22" x14ac:dyDescent="0.3">
      <c r="B558">
        <v>9.1999999999999993</v>
      </c>
      <c r="E558" s="8" t="s">
        <v>9</v>
      </c>
      <c r="F558" s="3">
        <v>250</v>
      </c>
      <c r="G558" s="3">
        <v>0</v>
      </c>
      <c r="H558" s="3">
        <v>0</v>
      </c>
      <c r="I558" s="3">
        <v>0</v>
      </c>
      <c r="J558" s="3">
        <v>0</v>
      </c>
      <c r="K558" s="3">
        <f>IF($B$556=12,'payment summary to Trustee'!$AW558,('payment summary to Trustee'!$BD558-'CDE Intercept  '!$T558)/4)</f>
        <v>0</v>
      </c>
      <c r="L558" s="3">
        <f>IF($B$556=12,'payment summary to Trustee'!$AW558,('payment summary to Trustee'!$BD558-'CDE Intercept  '!$T558)/4)</f>
        <v>0</v>
      </c>
      <c r="M558" s="3">
        <f>IF($B$556=12,'payment summary to Trustee'!$AW558,('payment summary to Trustee'!$BD558-'CDE Intercept  '!$T558)/4)</f>
        <v>0</v>
      </c>
      <c r="N558" s="3">
        <v>0</v>
      </c>
      <c r="O558" s="118">
        <f>IF($B$556=12,'payment summary to Trustee'!$AW558,('payment summary to Trustee'!$BD558-'CDE Intercept  '!$T558)/4)</f>
        <v>0</v>
      </c>
      <c r="P558" s="3">
        <v>0</v>
      </c>
      <c r="Q558" s="3">
        <v>0</v>
      </c>
      <c r="R558" s="3">
        <f>SUM(F558:Q558)</f>
        <v>250</v>
      </c>
      <c r="T558" s="3">
        <f t="shared" ref="T558:T559" si="191">SUM(F558:J558)</f>
        <v>250</v>
      </c>
      <c r="U558" s="93">
        <f>SUM(K558:Q558)</f>
        <v>0</v>
      </c>
      <c r="V558" s="11">
        <f>SUM(T558:U558)-R558</f>
        <v>0</v>
      </c>
    </row>
    <row r="559" spans="1:22" ht="13.5" thickBot="1" x14ac:dyDescent="0.35">
      <c r="A559" t="s">
        <v>272</v>
      </c>
      <c r="B559">
        <v>9.3000000000000007</v>
      </c>
      <c r="E559" s="8" t="s">
        <v>10</v>
      </c>
      <c r="F559" s="3">
        <f>22500+65043.75</f>
        <v>87543.75</v>
      </c>
      <c r="G559" s="3">
        <f t="shared" ref="G559:J559" si="192">22500+65043.75</f>
        <v>87543.75</v>
      </c>
      <c r="H559" s="3">
        <f t="shared" si="192"/>
        <v>87543.75</v>
      </c>
      <c r="I559" s="3">
        <f t="shared" si="192"/>
        <v>87543.75</v>
      </c>
      <c r="J559" s="3">
        <f t="shared" si="192"/>
        <v>87543.75</v>
      </c>
      <c r="K559" s="3">
        <f>IF($B$556=12,'payment summary to Trustee'!$AW559,('payment summary to Trustee'!$BD559-'CDE Intercept  '!$T559)/4)</f>
        <v>153156.77000000002</v>
      </c>
      <c r="L559" s="3">
        <f>IF($B$556=12,'payment summary to Trustee'!$AW559,('payment summary to Trustee'!$BD559-'CDE Intercept  '!$T559)/4)</f>
        <v>153156.77000000002</v>
      </c>
      <c r="M559" s="3">
        <f>IF($B$556=12,'payment summary to Trustee'!$AW559,('payment summary to Trustee'!$BD559-'CDE Intercept  '!$T559)/4)</f>
        <v>153156.77000000002</v>
      </c>
      <c r="N559" s="3">
        <v>0</v>
      </c>
      <c r="O559" s="118">
        <f>IF($B$556=12,'payment summary to Trustee'!$AW559,('payment summary to Trustee'!$BD559-'CDE Intercept  '!$T559)/4)</f>
        <v>153156.77000000002</v>
      </c>
      <c r="P559" s="3">
        <v>0</v>
      </c>
      <c r="Q559" s="3">
        <v>0</v>
      </c>
      <c r="R559" s="3">
        <f>SUM(F559:Q559)</f>
        <v>1050345.83</v>
      </c>
      <c r="T559" s="3">
        <f t="shared" si="191"/>
        <v>437718.75</v>
      </c>
      <c r="U559" s="94">
        <f>SUM(K559:Q559)</f>
        <v>612627.08000000007</v>
      </c>
      <c r="V559" s="11">
        <f>SUM(T559:U559)-R559</f>
        <v>0</v>
      </c>
    </row>
    <row r="560" spans="1:22" ht="13.5" thickBot="1" x14ac:dyDescent="0.35">
      <c r="E560" s="13" t="s">
        <v>273</v>
      </c>
      <c r="F560" s="22">
        <f t="shared" ref="F560:R560" si="193">SUM(F557:F559)</f>
        <v>87793.75</v>
      </c>
      <c r="G560" s="22">
        <f t="shared" si="193"/>
        <v>87543.75</v>
      </c>
      <c r="H560" s="22">
        <f t="shared" si="193"/>
        <v>87543.75</v>
      </c>
      <c r="I560" s="22">
        <f t="shared" si="193"/>
        <v>87543.75</v>
      </c>
      <c r="J560" s="22">
        <f t="shared" si="193"/>
        <v>87543.75</v>
      </c>
      <c r="K560" s="22">
        <f t="shared" si="193"/>
        <v>153156.77000000002</v>
      </c>
      <c r="L560" s="22">
        <f t="shared" si="193"/>
        <v>153156.77000000002</v>
      </c>
      <c r="M560" s="22">
        <f t="shared" si="193"/>
        <v>153156.77000000002</v>
      </c>
      <c r="N560" s="22">
        <f t="shared" si="193"/>
        <v>0</v>
      </c>
      <c r="O560" s="119">
        <f t="shared" si="193"/>
        <v>153156.77000000002</v>
      </c>
      <c r="P560" s="22">
        <f t="shared" ref="P560" si="194">SUM(P557:P559)</f>
        <v>0</v>
      </c>
      <c r="Q560" s="22">
        <f t="shared" si="193"/>
        <v>0</v>
      </c>
      <c r="R560" s="22">
        <f t="shared" si="193"/>
        <v>1050595.83</v>
      </c>
      <c r="T560" s="39">
        <f>SUM(T557:T559)</f>
        <v>437968.75</v>
      </c>
      <c r="U560" s="78">
        <f>SUM(U557:U559)</f>
        <v>612627.08000000007</v>
      </c>
      <c r="V560" s="11">
        <f>SUM(T560:U560)-R560</f>
        <v>0</v>
      </c>
    </row>
    <row r="561" spans="1:22" x14ac:dyDescent="0.3">
      <c r="E561" s="15"/>
      <c r="O561" s="118"/>
    </row>
    <row r="562" spans="1:22" ht="15.5" x14ac:dyDescent="0.35">
      <c r="A562" s="97" t="s">
        <v>929</v>
      </c>
      <c r="B562" s="103">
        <v>9</v>
      </c>
      <c r="C562" s="20">
        <f>+C556+1</f>
        <v>60</v>
      </c>
      <c r="D562" s="1" t="s">
        <v>14</v>
      </c>
      <c r="E562" s="104" t="s">
        <v>274</v>
      </c>
      <c r="O562" s="118"/>
    </row>
    <row r="563" spans="1:22" x14ac:dyDescent="0.3">
      <c r="A563" s="97" t="s">
        <v>930</v>
      </c>
      <c r="B563" s="103">
        <v>9.1</v>
      </c>
      <c r="E563" s="8" t="s">
        <v>8</v>
      </c>
      <c r="F563" s="3">
        <v>1203.33</v>
      </c>
      <c r="G563" s="3">
        <v>1203.33</v>
      </c>
      <c r="H563" s="3">
        <v>1203.33</v>
      </c>
      <c r="I563" s="3">
        <v>1203.33</v>
      </c>
      <c r="J563" s="3">
        <v>1203.33</v>
      </c>
      <c r="K563" s="3">
        <v>1203.33</v>
      </c>
      <c r="L563" s="3">
        <v>1203.33</v>
      </c>
      <c r="M563" s="3">
        <v>1203.33</v>
      </c>
      <c r="N563" s="3">
        <v>0</v>
      </c>
      <c r="O563" s="120">
        <f>1203.33+1203.33+1203.33+1179.58</f>
        <v>4789.57</v>
      </c>
      <c r="P563" s="62">
        <v>0</v>
      </c>
      <c r="Q563" s="3">
        <v>0</v>
      </c>
      <c r="R563" s="3">
        <f>SUM(F563:Q563)</f>
        <v>14416.21</v>
      </c>
      <c r="T563" s="3">
        <f>SUM(F563:J563)</f>
        <v>6016.65</v>
      </c>
      <c r="U563" s="93">
        <f>SUM(K563:Q563)</f>
        <v>8399.56</v>
      </c>
      <c r="V563" s="11">
        <f>SUM(T563:U563)-R563</f>
        <v>0</v>
      </c>
    </row>
    <row r="564" spans="1:22" x14ac:dyDescent="0.3">
      <c r="B564" s="103">
        <v>9.1999999999999993</v>
      </c>
      <c r="E564" s="8" t="s">
        <v>9</v>
      </c>
      <c r="F564" s="3">
        <v>250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118">
        <v>0</v>
      </c>
      <c r="P564" s="3">
        <v>0</v>
      </c>
      <c r="Q564" s="3">
        <v>0</v>
      </c>
      <c r="R564" s="3">
        <f>SUM(F564:Q564)</f>
        <v>250</v>
      </c>
      <c r="T564" s="3">
        <f t="shared" ref="T564:T565" si="195">SUM(F564:J564)</f>
        <v>250</v>
      </c>
      <c r="U564" s="93">
        <f>SUM(K564:Q564)</f>
        <v>0</v>
      </c>
      <c r="V564" s="11">
        <f>SUM(T564:U564)-R564</f>
        <v>0</v>
      </c>
    </row>
    <row r="565" spans="1:22" ht="13.5" thickBot="1" x14ac:dyDescent="0.35">
      <c r="A565" t="s">
        <v>275</v>
      </c>
      <c r="B565" s="103">
        <v>9.3000000000000007</v>
      </c>
      <c r="E565" s="8" t="s">
        <v>10</v>
      </c>
      <c r="F565" s="3">
        <f>23750+60166.67</f>
        <v>83916.67</v>
      </c>
      <c r="G565" s="3">
        <f t="shared" ref="G565:I565" si="196">23750+60166.67</f>
        <v>83916.67</v>
      </c>
      <c r="H565" s="3">
        <f t="shared" si="196"/>
        <v>83916.67</v>
      </c>
      <c r="I565" s="3">
        <f t="shared" si="196"/>
        <v>83916.67</v>
      </c>
      <c r="J565" s="3">
        <f>23750+60166.65</f>
        <v>83916.65</v>
      </c>
      <c r="K565" s="3">
        <f>23750+60166.67</f>
        <v>83916.67</v>
      </c>
      <c r="L565" s="3">
        <f t="shared" ref="L565:M565" si="197">23750+60166.67</f>
        <v>83916.67</v>
      </c>
      <c r="M565" s="3">
        <f t="shared" si="197"/>
        <v>83916.67</v>
      </c>
      <c r="N565" s="3">
        <v>0</v>
      </c>
      <c r="O565" s="118">
        <f>23750+60166.65+83916.67+83916.67+83562.5</f>
        <v>335312.49</v>
      </c>
      <c r="P565" s="3">
        <v>0</v>
      </c>
      <c r="Q565" s="3">
        <v>0</v>
      </c>
      <c r="R565" s="3">
        <f>SUM(F565:Q565)</f>
        <v>1006645.83</v>
      </c>
      <c r="T565" s="3">
        <f t="shared" si="195"/>
        <v>419583.32999999996</v>
      </c>
      <c r="U565" s="94">
        <f>SUM(K565:Q565)</f>
        <v>587062.5</v>
      </c>
      <c r="V565" s="11">
        <f>SUM(T565:U565)-R565</f>
        <v>0</v>
      </c>
    </row>
    <row r="566" spans="1:22" ht="13.5" thickBot="1" x14ac:dyDescent="0.35">
      <c r="E566" s="13" t="s">
        <v>276</v>
      </c>
      <c r="F566" s="22">
        <f t="shared" ref="F566:R566" si="198">SUM(F563:F565)</f>
        <v>85370</v>
      </c>
      <c r="G566" s="22">
        <f t="shared" si="198"/>
        <v>85120</v>
      </c>
      <c r="H566" s="22">
        <f t="shared" si="198"/>
        <v>85120</v>
      </c>
      <c r="I566" s="22">
        <f t="shared" si="198"/>
        <v>85120</v>
      </c>
      <c r="J566" s="22">
        <f t="shared" si="198"/>
        <v>85119.98</v>
      </c>
      <c r="K566" s="22">
        <f t="shared" si="198"/>
        <v>85120</v>
      </c>
      <c r="L566" s="22">
        <f t="shared" si="198"/>
        <v>85120</v>
      </c>
      <c r="M566" s="22">
        <f t="shared" si="198"/>
        <v>85120</v>
      </c>
      <c r="N566" s="22">
        <f t="shared" si="198"/>
        <v>0</v>
      </c>
      <c r="O566" s="119">
        <f t="shared" si="198"/>
        <v>340102.06</v>
      </c>
      <c r="P566" s="22">
        <f t="shared" si="198"/>
        <v>0</v>
      </c>
      <c r="Q566" s="22">
        <f t="shared" si="198"/>
        <v>0</v>
      </c>
      <c r="R566" s="22">
        <f t="shared" si="198"/>
        <v>1021312.0399999999</v>
      </c>
      <c r="T566" s="39">
        <f>SUM(T563:T565)</f>
        <v>425849.98</v>
      </c>
      <c r="U566" s="78">
        <f>SUM(U563:U565)</f>
        <v>595462.06000000006</v>
      </c>
      <c r="V566" s="11">
        <f>SUM(T566:U566)-R566</f>
        <v>0</v>
      </c>
    </row>
    <row r="567" spans="1:22" x14ac:dyDescent="0.3">
      <c r="E567" s="15"/>
      <c r="O567" s="118"/>
    </row>
    <row r="568" spans="1:22" ht="15.5" x14ac:dyDescent="0.35">
      <c r="B568">
        <v>9</v>
      </c>
      <c r="C568" s="20">
        <f>+C562+1</f>
        <v>61</v>
      </c>
      <c r="D568" s="1" t="s">
        <v>14</v>
      </c>
      <c r="E568" s="25" t="s">
        <v>277</v>
      </c>
      <c r="O568" s="118"/>
    </row>
    <row r="569" spans="1:22" x14ac:dyDescent="0.3">
      <c r="B569">
        <v>9.1</v>
      </c>
      <c r="E569" s="8" t="s">
        <v>8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f>IF($B$568=12,'payment summary to Trustee'!$AW569,('payment summary to Trustee'!$BD569-'CDE Intercept  '!$T569)/4)</f>
        <v>0</v>
      </c>
      <c r="L569" s="3">
        <f>IF($B$568=12,'payment summary to Trustee'!$AW569,('payment summary to Trustee'!$BD569-'CDE Intercept  '!$T569)/4)</f>
        <v>0</v>
      </c>
      <c r="M569" s="3">
        <f>IF($B$568=12,'payment summary to Trustee'!$AW569,('payment summary to Trustee'!$BD569-'CDE Intercept  '!$T569)/4)</f>
        <v>0</v>
      </c>
      <c r="N569" s="3">
        <v>0</v>
      </c>
      <c r="O569" s="118">
        <f>IF($B$568=12,'payment summary to Trustee'!$AW569,('payment summary to Trustee'!$BD569-'CDE Intercept  '!$T569)/4)</f>
        <v>0</v>
      </c>
      <c r="P569" s="3">
        <v>0</v>
      </c>
      <c r="Q569" s="3">
        <v>0</v>
      </c>
      <c r="R569" s="3">
        <f>SUM(F569:Q569)</f>
        <v>0</v>
      </c>
      <c r="T569" s="3">
        <f>SUM(F569:J569)</f>
        <v>0</v>
      </c>
      <c r="U569" s="93">
        <f>SUM(K569:Q569)</f>
        <v>0</v>
      </c>
      <c r="V569" s="11">
        <f>SUM(T569:U569)-R569</f>
        <v>0</v>
      </c>
    </row>
    <row r="570" spans="1:22" x14ac:dyDescent="0.3">
      <c r="B570">
        <v>9.1999999999999993</v>
      </c>
      <c r="E570" s="8" t="s">
        <v>9</v>
      </c>
      <c r="F570" s="3">
        <v>250</v>
      </c>
      <c r="G570" s="3">
        <v>0</v>
      </c>
      <c r="H570" s="3">
        <v>0</v>
      </c>
      <c r="I570" s="3">
        <v>0</v>
      </c>
      <c r="J570" s="3">
        <v>0</v>
      </c>
      <c r="K570" s="3">
        <f>IF($B$568=12,'payment summary to Trustee'!$AW570,('payment summary to Trustee'!$BD570-'CDE Intercept  '!$T570)/4)</f>
        <v>0</v>
      </c>
      <c r="L570" s="3">
        <f>IF($B$568=12,'payment summary to Trustee'!$AW570,('payment summary to Trustee'!$BD570-'CDE Intercept  '!$T570)/4)</f>
        <v>0</v>
      </c>
      <c r="M570" s="3">
        <f>IF($B$568=12,'payment summary to Trustee'!$AW570,('payment summary to Trustee'!$BD570-'CDE Intercept  '!$T570)/4)</f>
        <v>0</v>
      </c>
      <c r="N570" s="3">
        <v>0</v>
      </c>
      <c r="O570" s="118">
        <f>IF($B$568=12,'payment summary to Trustee'!$AW570,('payment summary to Trustee'!$BD570-'CDE Intercept  '!$T570)/4)</f>
        <v>0</v>
      </c>
      <c r="P570" s="3">
        <v>0</v>
      </c>
      <c r="Q570" s="3">
        <v>0</v>
      </c>
      <c r="R570" s="3">
        <f>SUM(F570:Q570)</f>
        <v>250</v>
      </c>
      <c r="T570" s="3">
        <f t="shared" ref="T570:T571" si="199">SUM(F570:J570)</f>
        <v>250</v>
      </c>
      <c r="U570" s="93">
        <f>SUM(K570:Q570)</f>
        <v>0</v>
      </c>
      <c r="V570" s="11">
        <f>SUM(T570:U570)-R570</f>
        <v>0</v>
      </c>
    </row>
    <row r="571" spans="1:22" ht="13.5" thickBot="1" x14ac:dyDescent="0.35">
      <c r="A571" t="s">
        <v>278</v>
      </c>
      <c r="B571">
        <v>9.3000000000000007</v>
      </c>
      <c r="E571" s="8" t="s">
        <v>10</v>
      </c>
      <c r="F571" s="3">
        <v>107473.96</v>
      </c>
      <c r="G571" s="3">
        <v>107473.96</v>
      </c>
      <c r="H571" s="3">
        <v>107473.96</v>
      </c>
      <c r="I571" s="3">
        <v>107473.96</v>
      </c>
      <c r="J571" s="3">
        <v>107473.96</v>
      </c>
      <c r="K571" s="3">
        <f>IF($B$568=12,'payment summary to Trustee'!$AW571,('payment summary to Trustee'!$BD571-'CDE Intercept  '!$T571)/4)</f>
        <v>192558.59249999997</v>
      </c>
      <c r="L571" s="3">
        <f>IF($B$568=12,'payment summary to Trustee'!$AW571,('payment summary to Trustee'!$BD571-'CDE Intercept  '!$T571)/4)</f>
        <v>192558.59249999997</v>
      </c>
      <c r="M571" s="3">
        <f>IF($B$568=12,'payment summary to Trustee'!$AW571,('payment summary to Trustee'!$BD571-'CDE Intercept  '!$T571)/4)</f>
        <v>192558.59249999997</v>
      </c>
      <c r="N571" s="3">
        <v>0</v>
      </c>
      <c r="O571" s="118">
        <f>IF($B$568=12,'payment summary to Trustee'!$AW571,('payment summary to Trustee'!$BD571-'CDE Intercept  '!$T571)/4)</f>
        <v>192558.59249999997</v>
      </c>
      <c r="P571" s="3">
        <v>0</v>
      </c>
      <c r="Q571" s="3">
        <v>0</v>
      </c>
      <c r="R571" s="3">
        <f>SUM(F571:Q571)</f>
        <v>1307604.1700000002</v>
      </c>
      <c r="T571" s="3">
        <f t="shared" si="199"/>
        <v>537369.80000000005</v>
      </c>
      <c r="U571" s="94">
        <f>SUM(K571:Q571)</f>
        <v>770234.36999999988</v>
      </c>
      <c r="V571" s="11">
        <f>SUM(T571:U571)-R571</f>
        <v>0</v>
      </c>
    </row>
    <row r="572" spans="1:22" ht="13.5" thickBot="1" x14ac:dyDescent="0.35">
      <c r="E572" s="13" t="s">
        <v>279</v>
      </c>
      <c r="F572" s="22">
        <f t="shared" ref="F572:R572" si="200">SUM(F569:F571)</f>
        <v>107723.96</v>
      </c>
      <c r="G572" s="22">
        <f t="shared" si="200"/>
        <v>107473.96</v>
      </c>
      <c r="H572" s="22">
        <f t="shared" si="200"/>
        <v>107473.96</v>
      </c>
      <c r="I572" s="22">
        <f t="shared" si="200"/>
        <v>107473.96</v>
      </c>
      <c r="J572" s="22">
        <f t="shared" si="200"/>
        <v>107473.96</v>
      </c>
      <c r="K572" s="22">
        <f t="shared" si="200"/>
        <v>192558.59249999997</v>
      </c>
      <c r="L572" s="22">
        <f t="shared" si="200"/>
        <v>192558.59249999997</v>
      </c>
      <c r="M572" s="22">
        <f t="shared" si="200"/>
        <v>192558.59249999997</v>
      </c>
      <c r="N572" s="22">
        <f t="shared" si="200"/>
        <v>0</v>
      </c>
      <c r="O572" s="119">
        <f t="shared" si="200"/>
        <v>192558.59249999997</v>
      </c>
      <c r="P572" s="22">
        <f t="shared" ref="P572" si="201">SUM(P569:P571)</f>
        <v>0</v>
      </c>
      <c r="Q572" s="22">
        <f t="shared" si="200"/>
        <v>0</v>
      </c>
      <c r="R572" s="22">
        <f t="shared" si="200"/>
        <v>1307854.1700000002</v>
      </c>
      <c r="T572" s="39">
        <f>SUM(T569:T571)</f>
        <v>537619.80000000005</v>
      </c>
      <c r="U572" s="78">
        <f>SUM(U569:U571)</f>
        <v>770234.36999999988</v>
      </c>
      <c r="V572" s="11">
        <f>SUM(T572:U572)-R572</f>
        <v>0</v>
      </c>
    </row>
    <row r="573" spans="1:22" x14ac:dyDescent="0.3">
      <c r="E573" s="15"/>
      <c r="O573" s="118"/>
    </row>
    <row r="574" spans="1:22" ht="15.5" x14ac:dyDescent="0.35">
      <c r="B574">
        <v>9</v>
      </c>
      <c r="C574" s="20">
        <f>+C568+1</f>
        <v>62</v>
      </c>
      <c r="D574" s="1" t="s">
        <v>14</v>
      </c>
      <c r="E574" s="25" t="s">
        <v>280</v>
      </c>
      <c r="O574" s="118"/>
    </row>
    <row r="575" spans="1:22" x14ac:dyDescent="0.3">
      <c r="B575">
        <v>9.1</v>
      </c>
      <c r="E575" s="8" t="s">
        <v>8</v>
      </c>
      <c r="F575" s="3">
        <v>574.16999999999996</v>
      </c>
      <c r="G575" s="3">
        <v>574.16999999999996</v>
      </c>
      <c r="H575" s="3">
        <v>574.16999999999996</v>
      </c>
      <c r="I575" s="3">
        <v>574.16999999999996</v>
      </c>
      <c r="J575" s="3">
        <v>574.16999999999996</v>
      </c>
      <c r="K575" s="3">
        <f>IF($B$574=12,'payment summary to Trustee'!$AW575,('payment summary to Trustee'!$BD575-'CDE Intercept  '!$T575)/4)</f>
        <v>1004.7975</v>
      </c>
      <c r="L575" s="3">
        <f>IF($B$574=12,'payment summary to Trustee'!$AW575,('payment summary to Trustee'!$BD575-'CDE Intercept  '!$T575)/4)</f>
        <v>1004.7975</v>
      </c>
      <c r="M575" s="3">
        <f>IF($B$574=12,'payment summary to Trustee'!$AW575,('payment summary to Trustee'!$BD575-'CDE Intercept  '!$T575)/4)</f>
        <v>1004.7975</v>
      </c>
      <c r="N575" s="3">
        <v>0</v>
      </c>
      <c r="O575" s="118">
        <f>IF($B$574=12,'payment summary to Trustee'!$AW575,('payment summary to Trustee'!$BD575-'CDE Intercept  '!$T575)/4)</f>
        <v>1004.7975</v>
      </c>
      <c r="P575" s="3">
        <v>0</v>
      </c>
      <c r="Q575" s="3">
        <v>0</v>
      </c>
      <c r="R575" s="3">
        <f>SUM(F575:Q575)</f>
        <v>6890.0399999999991</v>
      </c>
      <c r="T575" s="3">
        <f>SUM(F575:J575)</f>
        <v>2870.85</v>
      </c>
      <c r="U575" s="93">
        <f>SUM(K575:Q575)</f>
        <v>4019.19</v>
      </c>
      <c r="V575" s="11">
        <f>SUM(T575:U575)-R575</f>
        <v>0</v>
      </c>
    </row>
    <row r="576" spans="1:22" x14ac:dyDescent="0.3">
      <c r="B576">
        <v>9.1999999999999993</v>
      </c>
      <c r="E576" s="8" t="s">
        <v>9</v>
      </c>
      <c r="F576" s="3">
        <v>250</v>
      </c>
      <c r="G576" s="3">
        <v>0</v>
      </c>
      <c r="H576" s="3">
        <v>0</v>
      </c>
      <c r="I576" s="3">
        <v>0</v>
      </c>
      <c r="J576" s="3">
        <v>0</v>
      </c>
      <c r="K576" s="3">
        <f>IF($B$574=12,'payment summary to Trustee'!$AW576,('payment summary to Trustee'!$BD576-'CDE Intercept  '!$T576)/4)</f>
        <v>0</v>
      </c>
      <c r="L576" s="3">
        <f>IF($B$574=12,'payment summary to Trustee'!$AW576,('payment summary to Trustee'!$BD576-'CDE Intercept  '!$T576)/4)</f>
        <v>0</v>
      </c>
      <c r="M576" s="3">
        <f>IF($B$574=12,'payment summary to Trustee'!$AW576,('payment summary to Trustee'!$BD576-'CDE Intercept  '!$T576)/4)</f>
        <v>0</v>
      </c>
      <c r="N576" s="3">
        <v>0</v>
      </c>
      <c r="O576" s="118">
        <f>IF($B$574=12,'payment summary to Trustee'!$AW576,('payment summary to Trustee'!$BD576-'CDE Intercept  '!$T576)/4)</f>
        <v>0</v>
      </c>
      <c r="P576" s="3">
        <v>0</v>
      </c>
      <c r="Q576" s="3">
        <v>0</v>
      </c>
      <c r="R576" s="3">
        <f>SUM(F576:Q576)</f>
        <v>250</v>
      </c>
      <c r="T576" s="3">
        <f t="shared" ref="T576:T577" si="202">SUM(F576:J576)</f>
        <v>250</v>
      </c>
      <c r="U576" s="93">
        <f>SUM(K576:Q576)</f>
        <v>0</v>
      </c>
      <c r="V576" s="11">
        <f>SUM(T576:U576)-R576</f>
        <v>0</v>
      </c>
    </row>
    <row r="577" spans="1:22" ht="13.5" thickBot="1" x14ac:dyDescent="0.35">
      <c r="A577" t="s">
        <v>281</v>
      </c>
      <c r="B577">
        <v>9.3000000000000007</v>
      </c>
      <c r="E577" s="8" t="s">
        <v>10</v>
      </c>
      <c r="F577" s="3">
        <f>15416.67+14480.21</f>
        <v>29896.879999999997</v>
      </c>
      <c r="G577" s="3">
        <f>15416.63+14480.2</f>
        <v>29896.83</v>
      </c>
      <c r="H577" s="3">
        <f>15833.33+14171.88</f>
        <v>30005.21</v>
      </c>
      <c r="I577" s="3">
        <f t="shared" ref="I577:J577" si="203">15833.33+14171.88</f>
        <v>30005.21</v>
      </c>
      <c r="J577" s="3">
        <f t="shared" si="203"/>
        <v>30005.21</v>
      </c>
      <c r="K577" s="3">
        <f>IF($B$574=12,'payment summary to Trustee'!$AW577,('payment summary to Trustee'!$BD577-'CDE Intercept  '!$T577)/4)</f>
        <v>52509.110000000008</v>
      </c>
      <c r="L577" s="3">
        <f>IF($B$574=12,'payment summary to Trustee'!$AW577,('payment summary to Trustee'!$BD577-'CDE Intercept  '!$T577)/4)</f>
        <v>52509.110000000008</v>
      </c>
      <c r="M577" s="3">
        <f>IF($B$574=12,'payment summary to Trustee'!$AW577,('payment summary to Trustee'!$BD577-'CDE Intercept  '!$T577)/4)</f>
        <v>52509.110000000008</v>
      </c>
      <c r="N577" s="3">
        <v>0</v>
      </c>
      <c r="O577" s="118">
        <f>IF($B$574=12,'payment summary to Trustee'!$AW577,('payment summary to Trustee'!$BD577-'CDE Intercept  '!$T577)/4)</f>
        <v>52509.110000000008</v>
      </c>
      <c r="P577" s="3">
        <v>0</v>
      </c>
      <c r="Q577" s="3">
        <v>0</v>
      </c>
      <c r="R577" s="3">
        <f>SUM(F577:Q577)</f>
        <v>359845.78</v>
      </c>
      <c r="T577" s="3">
        <f t="shared" si="202"/>
        <v>149809.34</v>
      </c>
      <c r="U577" s="94">
        <f>SUM(K577:Q577)</f>
        <v>210036.44000000003</v>
      </c>
      <c r="V577" s="11">
        <f>SUM(T577:U577)-R577</f>
        <v>0</v>
      </c>
    </row>
    <row r="578" spans="1:22" ht="13.5" thickBot="1" x14ac:dyDescent="0.35">
      <c r="E578" s="13" t="s">
        <v>70</v>
      </c>
      <c r="F578" s="22">
        <f t="shared" ref="F578:R578" si="204">SUM(F575:F577)</f>
        <v>30721.049999999996</v>
      </c>
      <c r="G578" s="22">
        <f t="shared" si="204"/>
        <v>30471</v>
      </c>
      <c r="H578" s="22">
        <f t="shared" si="204"/>
        <v>30579.379999999997</v>
      </c>
      <c r="I578" s="22">
        <f t="shared" si="204"/>
        <v>30579.379999999997</v>
      </c>
      <c r="J578" s="22">
        <f t="shared" si="204"/>
        <v>30579.379999999997</v>
      </c>
      <c r="K578" s="22">
        <f t="shared" si="204"/>
        <v>53513.907500000008</v>
      </c>
      <c r="L578" s="22">
        <f t="shared" si="204"/>
        <v>53513.907500000008</v>
      </c>
      <c r="M578" s="22">
        <f t="shared" si="204"/>
        <v>53513.907500000008</v>
      </c>
      <c r="N578" s="22">
        <f t="shared" si="204"/>
        <v>0</v>
      </c>
      <c r="O578" s="119">
        <f t="shared" si="204"/>
        <v>53513.907500000008</v>
      </c>
      <c r="P578" s="22">
        <f t="shared" ref="P578" si="205">SUM(P575:P577)</f>
        <v>0</v>
      </c>
      <c r="Q578" s="22">
        <f t="shared" si="204"/>
        <v>0</v>
      </c>
      <c r="R578" s="22">
        <f t="shared" si="204"/>
        <v>366985.82</v>
      </c>
      <c r="T578" s="39">
        <f>SUM(T575:T577)</f>
        <v>152930.19</v>
      </c>
      <c r="U578" s="78">
        <f>SUM(U575:U577)</f>
        <v>214055.63000000003</v>
      </c>
      <c r="V578" s="11">
        <f>SUM(T578:U578)-R578</f>
        <v>0</v>
      </c>
    </row>
    <row r="579" spans="1:22" x14ac:dyDescent="0.3">
      <c r="E579" s="15"/>
      <c r="O579" s="118"/>
    </row>
    <row r="580" spans="1:22" ht="15.5" x14ac:dyDescent="0.35">
      <c r="B580">
        <v>12</v>
      </c>
      <c r="C580" s="20">
        <f>+C574+1</f>
        <v>63</v>
      </c>
      <c r="D580" s="1" t="s">
        <v>14</v>
      </c>
      <c r="E580" s="25" t="s">
        <v>282</v>
      </c>
      <c r="O580" s="118"/>
    </row>
    <row r="581" spans="1:22" x14ac:dyDescent="0.3">
      <c r="B581">
        <v>12.1</v>
      </c>
      <c r="E581" s="8" t="s">
        <v>8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f>IF($B$592=12,'payment summary to Trustee'!$AW581,('payment summary to Trustee'!$BD581-'CDE Intercept  '!$T581)/4)</f>
        <v>0</v>
      </c>
      <c r="L581" s="3">
        <v>0</v>
      </c>
      <c r="M581" s="3">
        <v>0</v>
      </c>
      <c r="N581" s="3">
        <v>0</v>
      </c>
      <c r="O581" s="118">
        <v>0</v>
      </c>
      <c r="P581" s="3">
        <v>0</v>
      </c>
      <c r="Q581" s="3">
        <v>0</v>
      </c>
      <c r="R581" s="3">
        <f>SUM(F581:Q581)</f>
        <v>0</v>
      </c>
      <c r="T581" s="3">
        <f>SUM(F581:J581)</f>
        <v>0</v>
      </c>
      <c r="U581" s="93">
        <f>SUM(K581:Q581)</f>
        <v>0</v>
      </c>
      <c r="V581" s="11">
        <f>SUM(T581:U581)-R581</f>
        <v>0</v>
      </c>
    </row>
    <row r="582" spans="1:22" x14ac:dyDescent="0.3">
      <c r="B582">
        <v>12.2</v>
      </c>
      <c r="E582" s="8" t="s">
        <v>9</v>
      </c>
      <c r="F582" s="3">
        <v>250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118">
        <v>0</v>
      </c>
      <c r="P582" s="3">
        <v>0</v>
      </c>
      <c r="Q582" s="3">
        <v>0</v>
      </c>
      <c r="R582" s="3">
        <f>SUM(F582:Q582)</f>
        <v>250</v>
      </c>
      <c r="T582" s="3">
        <f t="shared" ref="T582:T583" si="206">SUM(F582:J582)</f>
        <v>250</v>
      </c>
      <c r="U582" s="93">
        <f>SUM(K582:Q582)</f>
        <v>0</v>
      </c>
      <c r="V582" s="11">
        <f>SUM(T582:U582)-R582</f>
        <v>0</v>
      </c>
    </row>
    <row r="583" spans="1:22" ht="13.5" thickBot="1" x14ac:dyDescent="0.35">
      <c r="A583" t="s">
        <v>283</v>
      </c>
      <c r="B583">
        <v>12.3</v>
      </c>
      <c r="E583" s="8" t="s">
        <v>10</v>
      </c>
      <c r="F583" s="3">
        <f>11250+30754.17</f>
        <v>42004.17</v>
      </c>
      <c r="G583" s="3">
        <f>11250+30754.17</f>
        <v>42004.17</v>
      </c>
      <c r="H583" s="3">
        <f t="shared" ref="H583:I583" si="207">11250+30754.17</f>
        <v>42004.17</v>
      </c>
      <c r="I583" s="3">
        <f t="shared" si="207"/>
        <v>42004.17</v>
      </c>
      <c r="J583" s="3">
        <f>11250+30754.15</f>
        <v>42004.15</v>
      </c>
      <c r="K583" s="3">
        <f>11250+30754.17</f>
        <v>42004.17</v>
      </c>
      <c r="L583" s="3">
        <f t="shared" ref="L583:O583" si="208">11250+30754.17</f>
        <v>42004.17</v>
      </c>
      <c r="M583" s="3">
        <f t="shared" si="208"/>
        <v>42004.17</v>
      </c>
      <c r="N583" s="3">
        <f t="shared" si="208"/>
        <v>42004.17</v>
      </c>
      <c r="O583" s="118">
        <f t="shared" si="208"/>
        <v>42004.17</v>
      </c>
      <c r="P583" s="3">
        <f>11250+30754.15</f>
        <v>42004.15</v>
      </c>
      <c r="Q583" s="3">
        <f>11666.67+30242.19</f>
        <v>41908.86</v>
      </c>
      <c r="R583" s="3">
        <f>SUM(F583:Q583)</f>
        <v>503954.68999999994</v>
      </c>
      <c r="T583" s="3">
        <f t="shared" si="206"/>
        <v>210020.83</v>
      </c>
      <c r="U583" s="94">
        <f>SUM(K583:Q583)</f>
        <v>293933.86</v>
      </c>
      <c r="V583" s="11">
        <f>SUM(T583:U583)-R583</f>
        <v>0</v>
      </c>
    </row>
    <row r="584" spans="1:22" ht="13.5" thickBot="1" x14ac:dyDescent="0.35">
      <c r="E584" s="13" t="s">
        <v>284</v>
      </c>
      <c r="F584" s="22">
        <f t="shared" ref="F584:R584" si="209">SUM(F581:F583)</f>
        <v>42254.17</v>
      </c>
      <c r="G584" s="22">
        <f t="shared" si="209"/>
        <v>42004.17</v>
      </c>
      <c r="H584" s="22">
        <f t="shared" si="209"/>
        <v>42004.17</v>
      </c>
      <c r="I584" s="22">
        <f t="shared" si="209"/>
        <v>42004.17</v>
      </c>
      <c r="J584" s="22">
        <f t="shared" si="209"/>
        <v>42004.15</v>
      </c>
      <c r="K584" s="22">
        <f t="shared" si="209"/>
        <v>42004.17</v>
      </c>
      <c r="L584" s="22">
        <f t="shared" si="209"/>
        <v>42004.17</v>
      </c>
      <c r="M584" s="22">
        <f t="shared" si="209"/>
        <v>42004.17</v>
      </c>
      <c r="N584" s="22">
        <f t="shared" si="209"/>
        <v>42004.17</v>
      </c>
      <c r="O584" s="119">
        <f t="shared" si="209"/>
        <v>42004.17</v>
      </c>
      <c r="P584" s="22">
        <f t="shared" si="209"/>
        <v>42004.15</v>
      </c>
      <c r="Q584" s="22">
        <f t="shared" si="209"/>
        <v>41908.86</v>
      </c>
      <c r="R584" s="22">
        <f t="shared" si="209"/>
        <v>504204.68999999994</v>
      </c>
      <c r="T584" s="39">
        <f>SUM(T581:T583)</f>
        <v>210270.83</v>
      </c>
      <c r="U584" s="78">
        <f>SUM(U581:U583)</f>
        <v>293933.86</v>
      </c>
      <c r="V584" s="11">
        <f>SUM(T584:U584)-R584</f>
        <v>0</v>
      </c>
    </row>
    <row r="585" spans="1:22" x14ac:dyDescent="0.3">
      <c r="E585" s="15"/>
      <c r="O585" s="118"/>
    </row>
    <row r="586" spans="1:22" ht="15.5" x14ac:dyDescent="0.35">
      <c r="B586">
        <v>9</v>
      </c>
      <c r="C586" s="20">
        <f>+C580+1</f>
        <v>64</v>
      </c>
      <c r="D586" t="s">
        <v>14</v>
      </c>
      <c r="E586" s="25" t="s">
        <v>285</v>
      </c>
      <c r="O586" s="118"/>
    </row>
    <row r="587" spans="1:22" x14ac:dyDescent="0.3">
      <c r="B587">
        <v>9.1</v>
      </c>
      <c r="E587" s="8" t="s">
        <v>8</v>
      </c>
      <c r="F587" s="3">
        <v>858.75</v>
      </c>
      <c r="G587" s="3">
        <v>858.75</v>
      </c>
      <c r="H587" s="3">
        <v>858.75</v>
      </c>
      <c r="I587" s="3">
        <v>858.75</v>
      </c>
      <c r="J587" s="3">
        <v>858.75</v>
      </c>
      <c r="K587" s="3">
        <f>IF($B$592=12,'payment summary to Trustee'!$AW587,('payment summary to Trustee'!$BD587-'CDE Intercept  '!$T587)/4)</f>
        <v>1502.8125</v>
      </c>
      <c r="L587" s="3">
        <f>IF($B$592=12,'payment summary to Trustee'!$AW587,('payment summary to Trustee'!$BD587-'CDE Intercept  '!$T587)/4)</f>
        <v>1502.8125</v>
      </c>
      <c r="M587" s="3">
        <f>IF($B$592=12,'payment summary to Trustee'!$AW587,('payment summary to Trustee'!$BD587-'CDE Intercept  '!$T587)/4)</f>
        <v>1502.8125</v>
      </c>
      <c r="N587" s="3">
        <v>0</v>
      </c>
      <c r="O587" s="118">
        <f>IF($B$592=12,'payment summary to Trustee'!$AW587,('payment summary to Trustee'!$BD587-'CDE Intercept  '!$T587)/4)</f>
        <v>1502.8125</v>
      </c>
      <c r="P587" s="3">
        <v>0</v>
      </c>
      <c r="Q587" s="3">
        <v>0</v>
      </c>
      <c r="R587" s="3">
        <f>SUM(F587:Q587)</f>
        <v>10305</v>
      </c>
      <c r="T587" s="3">
        <f>SUM(F587:J587)</f>
        <v>4293.75</v>
      </c>
      <c r="U587" s="93">
        <f>SUM(K587:Q587)</f>
        <v>6011.25</v>
      </c>
      <c r="V587" s="11">
        <f>SUM(T587:U587)-R587</f>
        <v>0</v>
      </c>
    </row>
    <row r="588" spans="1:22" x14ac:dyDescent="0.3">
      <c r="B588">
        <v>9.1999999999999993</v>
      </c>
      <c r="E588" s="8" t="s">
        <v>9</v>
      </c>
      <c r="F588" s="3">
        <v>250</v>
      </c>
      <c r="G588" s="3">
        <v>0</v>
      </c>
      <c r="H588" s="3">
        <v>0</v>
      </c>
      <c r="I588" s="3">
        <v>0</v>
      </c>
      <c r="J588" s="3">
        <v>0</v>
      </c>
      <c r="K588" s="3">
        <f>IF($B$580=12,'payment summary to Trustee'!$AW588,('payment summary to Trustee'!$BD588-'CDE Intercept  '!$T588)/4)</f>
        <v>0</v>
      </c>
      <c r="L588" s="3">
        <f>IF($B$580=12,'payment summary to Trustee'!$AW588,('payment summary to Trustee'!$BD588-'CDE Intercept  '!$T588)/4)</f>
        <v>0</v>
      </c>
      <c r="M588" s="3">
        <f>IF($B$580=12,'payment summary to Trustee'!$AW588,('payment summary to Trustee'!$BD588-'CDE Intercept  '!$T588)/4)</f>
        <v>0</v>
      </c>
      <c r="N588" s="3">
        <v>0</v>
      </c>
      <c r="O588" s="118">
        <f>IF($B$580=12,'payment summary to Trustee'!$AW588,('payment summary to Trustee'!$BD588-'CDE Intercept  '!$T588)/4)</f>
        <v>0</v>
      </c>
      <c r="P588" s="3">
        <v>0</v>
      </c>
      <c r="Q588" s="3">
        <v>0</v>
      </c>
      <c r="R588" s="3">
        <f>SUM(F588:Q588)</f>
        <v>250</v>
      </c>
      <c r="T588" s="3">
        <f t="shared" ref="T588:T589" si="210">SUM(F588:J588)</f>
        <v>250</v>
      </c>
      <c r="U588" s="93">
        <f>SUM(K588:Q588)</f>
        <v>0</v>
      </c>
      <c r="V588" s="11">
        <f>SUM(T588:U588)-R588</f>
        <v>0</v>
      </c>
    </row>
    <row r="589" spans="1:22" ht="13.5" thickBot="1" x14ac:dyDescent="0.35">
      <c r="A589" t="s">
        <v>286</v>
      </c>
      <c r="B589">
        <v>9.3000000000000007</v>
      </c>
      <c r="E589" s="8" t="s">
        <v>10</v>
      </c>
      <c r="F589" s="3">
        <v>34350</v>
      </c>
      <c r="G589" s="3">
        <v>34350</v>
      </c>
      <c r="H589" s="3">
        <v>34350</v>
      </c>
      <c r="I589" s="3">
        <v>34350</v>
      </c>
      <c r="J589" s="3">
        <v>34350</v>
      </c>
      <c r="K589" s="3">
        <f>IF($B$592=12,'payment summary to Trustee'!$AW589,('payment summary to Trustee'!$BD589-'CDE Intercept  '!$T589)/4)</f>
        <v>60112.5</v>
      </c>
      <c r="L589" s="3">
        <f>IF($B$592=12,'payment summary to Trustee'!$AW589,('payment summary to Trustee'!$BD589-'CDE Intercept  '!$T589)/4)</f>
        <v>60112.5</v>
      </c>
      <c r="M589" s="3">
        <f>IF($B$592=12,'payment summary to Trustee'!$AW589,('payment summary to Trustee'!$BD589-'CDE Intercept  '!$T589)/4)</f>
        <v>60112.5</v>
      </c>
      <c r="N589" s="3">
        <v>0</v>
      </c>
      <c r="O589" s="118">
        <f>IF($B$592=12,'payment summary to Trustee'!$AW589,('payment summary to Trustee'!$BD589-'CDE Intercept  '!$T589)/4)</f>
        <v>60112.5</v>
      </c>
      <c r="P589" s="3">
        <v>0</v>
      </c>
      <c r="Q589" s="3">
        <v>0</v>
      </c>
      <c r="R589" s="3">
        <f>SUM(F589:Q589)</f>
        <v>412200</v>
      </c>
      <c r="T589" s="3">
        <f t="shared" si="210"/>
        <v>171750</v>
      </c>
      <c r="U589" s="94">
        <f>SUM(K589:Q589)</f>
        <v>240450</v>
      </c>
      <c r="V589" s="11">
        <f>SUM(T589:U589)-R589</f>
        <v>0</v>
      </c>
    </row>
    <row r="590" spans="1:22" ht="13.5" thickBot="1" x14ac:dyDescent="0.35">
      <c r="E590" s="13" t="s">
        <v>129</v>
      </c>
      <c r="F590" s="22">
        <f t="shared" ref="F590:R590" si="211">SUM(F587:F589)</f>
        <v>35458.75</v>
      </c>
      <c r="G590" s="22">
        <f t="shared" si="211"/>
        <v>35208.75</v>
      </c>
      <c r="H590" s="22">
        <f t="shared" si="211"/>
        <v>35208.75</v>
      </c>
      <c r="I590" s="22">
        <f t="shared" si="211"/>
        <v>35208.75</v>
      </c>
      <c r="J590" s="22">
        <f t="shared" si="211"/>
        <v>35208.75</v>
      </c>
      <c r="K590" s="22">
        <f t="shared" si="211"/>
        <v>61615.3125</v>
      </c>
      <c r="L590" s="22">
        <f t="shared" si="211"/>
        <v>61615.3125</v>
      </c>
      <c r="M590" s="22">
        <f t="shared" si="211"/>
        <v>61615.3125</v>
      </c>
      <c r="N590" s="22">
        <f t="shared" si="211"/>
        <v>0</v>
      </c>
      <c r="O590" s="119">
        <f t="shared" si="211"/>
        <v>61615.3125</v>
      </c>
      <c r="P590" s="22">
        <f t="shared" ref="P590" si="212">SUM(P587:P589)</f>
        <v>0</v>
      </c>
      <c r="Q590" s="22">
        <f t="shared" si="211"/>
        <v>0</v>
      </c>
      <c r="R590" s="22">
        <f t="shared" si="211"/>
        <v>422755</v>
      </c>
      <c r="T590" s="39">
        <f>SUM(T587:T589)</f>
        <v>176293.75</v>
      </c>
      <c r="U590" s="78">
        <f>SUM(U587:U589)</f>
        <v>246461.25</v>
      </c>
      <c r="V590" s="11">
        <f>SUM(T590:U590)-R590</f>
        <v>0</v>
      </c>
    </row>
    <row r="591" spans="1:22" x14ac:dyDescent="0.3">
      <c r="E591" s="15"/>
      <c r="O591" s="118"/>
    </row>
    <row r="592" spans="1:22" ht="15.5" x14ac:dyDescent="0.35">
      <c r="B592">
        <v>9</v>
      </c>
      <c r="C592" s="20">
        <f>+C586+1</f>
        <v>65</v>
      </c>
      <c r="D592" s="1" t="s">
        <v>14</v>
      </c>
      <c r="E592" s="25" t="s">
        <v>287</v>
      </c>
      <c r="O592" s="118"/>
    </row>
    <row r="593" spans="1:22" x14ac:dyDescent="0.3">
      <c r="B593">
        <v>9.1</v>
      </c>
      <c r="E593" s="8" t="s">
        <v>8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f>IF($B$592=12,'payment summary to Trustee'!$AW593,('payment summary to Trustee'!$BD593-'CDE Intercept  '!$T593)/4)</f>
        <v>0</v>
      </c>
      <c r="L593" s="3">
        <f>IF($B$592=12,'payment summary to Trustee'!$AW593,('payment summary to Trustee'!$BD593-'CDE Intercept  '!$T593)/4)</f>
        <v>0</v>
      </c>
      <c r="M593" s="3">
        <f>IF($B$592=12,'payment summary to Trustee'!$AW593,('payment summary to Trustee'!$BD593-'CDE Intercept  '!$T593)/4)</f>
        <v>0</v>
      </c>
      <c r="N593" s="3">
        <v>0</v>
      </c>
      <c r="O593" s="118">
        <f>IF($B$592=12,'payment summary to Trustee'!$AW593,('payment summary to Trustee'!$BD593-'CDE Intercept  '!$T593)/4)</f>
        <v>0</v>
      </c>
      <c r="P593" s="3">
        <v>0</v>
      </c>
      <c r="Q593" s="3">
        <v>0</v>
      </c>
      <c r="R593" s="3">
        <f>SUM(F593:Q593)</f>
        <v>0</v>
      </c>
      <c r="T593" s="3">
        <f>SUM(F593:J593)</f>
        <v>0</v>
      </c>
      <c r="U593" s="93">
        <f>SUM(K593:Q593)</f>
        <v>0</v>
      </c>
      <c r="V593" s="11">
        <f>SUM(T593:U593)-R593</f>
        <v>0</v>
      </c>
    </row>
    <row r="594" spans="1:22" x14ac:dyDescent="0.3">
      <c r="B594">
        <v>9.1999999999999993</v>
      </c>
      <c r="E594" s="8" t="s">
        <v>9</v>
      </c>
      <c r="F594" s="3">
        <v>250</v>
      </c>
      <c r="G594" s="3">
        <v>0</v>
      </c>
      <c r="H594" s="3">
        <v>0</v>
      </c>
      <c r="I594" s="3">
        <v>0</v>
      </c>
      <c r="J594" s="3">
        <v>0</v>
      </c>
      <c r="K594" s="3">
        <f>IF($B$592=12,'payment summary to Trustee'!$AW594,('payment summary to Trustee'!$BD594-'CDE Intercept  '!$T594)/4)</f>
        <v>0</v>
      </c>
      <c r="L594" s="3">
        <f>IF($B$592=12,'payment summary to Trustee'!$AW594,('payment summary to Trustee'!$BD594-'CDE Intercept  '!$T594)/4)</f>
        <v>0</v>
      </c>
      <c r="M594" s="3">
        <f>IF($B$592=12,'payment summary to Trustee'!$AW594,('payment summary to Trustee'!$BD594-'CDE Intercept  '!$T594)/4)</f>
        <v>0</v>
      </c>
      <c r="N594" s="3">
        <v>0</v>
      </c>
      <c r="O594" s="118">
        <f>IF($B$592=12,'payment summary to Trustee'!$AW594,('payment summary to Trustee'!$BD594-'CDE Intercept  '!$T594)/4)</f>
        <v>0</v>
      </c>
      <c r="P594" s="3">
        <v>0</v>
      </c>
      <c r="Q594" s="3">
        <v>0</v>
      </c>
      <c r="R594" s="3">
        <f>SUM(F594:Q594)</f>
        <v>250</v>
      </c>
      <c r="T594" s="3">
        <f t="shared" ref="T594:T595" si="213">SUM(F594:J594)</f>
        <v>250</v>
      </c>
      <c r="U594" s="93">
        <f>SUM(K594:Q594)</f>
        <v>0</v>
      </c>
      <c r="V594" s="11">
        <f>SUM(T594:U594)-R594</f>
        <v>0</v>
      </c>
    </row>
    <row r="595" spans="1:22" ht="13.5" thickBot="1" x14ac:dyDescent="0.35">
      <c r="A595" t="s">
        <v>288</v>
      </c>
      <c r="B595">
        <v>9.3000000000000007</v>
      </c>
      <c r="E595" s="8" t="s">
        <v>10</v>
      </c>
      <c r="F595" s="3">
        <f>17500+87663.54</f>
        <v>105163.54</v>
      </c>
      <c r="G595" s="3">
        <f t="shared" ref="G595:J595" si="214">17500+87663.54</f>
        <v>105163.54</v>
      </c>
      <c r="H595" s="3">
        <f t="shared" si="214"/>
        <v>105163.54</v>
      </c>
      <c r="I595" s="3">
        <f t="shared" si="214"/>
        <v>105163.54</v>
      </c>
      <c r="J595" s="3">
        <f t="shared" si="214"/>
        <v>105163.54</v>
      </c>
      <c r="K595" s="3">
        <f>IF($B$592=12,'payment summary to Trustee'!$AW595,('payment summary to Trustee'!$BD595-'CDE Intercept  '!$T595)/4)</f>
        <v>185934.64750000002</v>
      </c>
      <c r="L595" s="3">
        <f>IF($B$592=12,'payment summary to Trustee'!$AW595,('payment summary to Trustee'!$BD595-'CDE Intercept  '!$T595)/4)</f>
        <v>185934.64750000002</v>
      </c>
      <c r="M595" s="3">
        <f>IF($B$592=12,'payment summary to Trustee'!$AW595,('payment summary to Trustee'!$BD595-'CDE Intercept  '!$T595)/4)</f>
        <v>185934.64750000002</v>
      </c>
      <c r="N595" s="3">
        <v>0</v>
      </c>
      <c r="O595" s="118">
        <f>IF($B$592=12,'payment summary to Trustee'!$AW595,('payment summary to Trustee'!$BD595-'CDE Intercept  '!$T595)/4)</f>
        <v>185934.64750000002</v>
      </c>
      <c r="P595" s="3">
        <v>0</v>
      </c>
      <c r="Q595" s="3">
        <v>0</v>
      </c>
      <c r="R595" s="3">
        <f>SUM(F595:Q595)</f>
        <v>1269556.2899999998</v>
      </c>
      <c r="T595" s="3">
        <f t="shared" si="213"/>
        <v>525817.69999999995</v>
      </c>
      <c r="U595" s="94">
        <f>SUM(K595:Q595)</f>
        <v>743738.59000000008</v>
      </c>
      <c r="V595" s="11">
        <f>SUM(T595:U595)-R595</f>
        <v>0</v>
      </c>
    </row>
    <row r="596" spans="1:22" ht="13.5" thickBot="1" x14ac:dyDescent="0.35">
      <c r="E596" s="13" t="s">
        <v>289</v>
      </c>
      <c r="F596" s="22">
        <f t="shared" ref="F596:R596" si="215">SUM(F593:F595)</f>
        <v>105413.54</v>
      </c>
      <c r="G596" s="22">
        <f t="shared" si="215"/>
        <v>105163.54</v>
      </c>
      <c r="H596" s="22">
        <f t="shared" si="215"/>
        <v>105163.54</v>
      </c>
      <c r="I596" s="22">
        <f t="shared" si="215"/>
        <v>105163.54</v>
      </c>
      <c r="J596" s="22">
        <f t="shared" si="215"/>
        <v>105163.54</v>
      </c>
      <c r="K596" s="22">
        <f t="shared" si="215"/>
        <v>185934.64750000002</v>
      </c>
      <c r="L596" s="22">
        <f t="shared" si="215"/>
        <v>185934.64750000002</v>
      </c>
      <c r="M596" s="22">
        <f t="shared" si="215"/>
        <v>185934.64750000002</v>
      </c>
      <c r="N596" s="22">
        <f t="shared" si="215"/>
        <v>0</v>
      </c>
      <c r="O596" s="119">
        <f t="shared" si="215"/>
        <v>185934.64750000002</v>
      </c>
      <c r="P596" s="22">
        <f t="shared" ref="P596" si="216">SUM(P593:P595)</f>
        <v>0</v>
      </c>
      <c r="Q596" s="22">
        <f t="shared" si="215"/>
        <v>0</v>
      </c>
      <c r="R596" s="22">
        <f t="shared" si="215"/>
        <v>1269806.2899999998</v>
      </c>
      <c r="T596" s="39">
        <f>SUM(T593:T595)</f>
        <v>526067.69999999995</v>
      </c>
      <c r="U596" s="78">
        <f>SUM(U593:U595)</f>
        <v>743738.59000000008</v>
      </c>
      <c r="V596" s="11">
        <f>SUM(T596:U596)-R596</f>
        <v>0</v>
      </c>
    </row>
    <row r="597" spans="1:22" x14ac:dyDescent="0.3">
      <c r="E597" s="15"/>
      <c r="O597" s="118"/>
    </row>
    <row r="598" spans="1:22" ht="15.5" x14ac:dyDescent="0.35">
      <c r="A598" s="97" t="s">
        <v>929</v>
      </c>
      <c r="B598" s="103">
        <v>9</v>
      </c>
      <c r="C598" s="20">
        <f>+C592+1</f>
        <v>66</v>
      </c>
      <c r="D598" s="1" t="s">
        <v>14</v>
      </c>
      <c r="E598" s="104" t="s">
        <v>290</v>
      </c>
      <c r="O598" s="118"/>
    </row>
    <row r="599" spans="1:22" x14ac:dyDescent="0.3">
      <c r="A599" s="97" t="s">
        <v>930</v>
      </c>
      <c r="B599" s="103">
        <v>9.1</v>
      </c>
      <c r="E599" s="8" t="s">
        <v>8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f>IF($B$598=12,'payment summary to Trustee'!$AW599,('payment summary to Trustee'!$BD599-'CDE Intercept  '!$T599)/4)</f>
        <v>0</v>
      </c>
      <c r="L599" s="3">
        <v>0</v>
      </c>
      <c r="M599" s="3">
        <v>0</v>
      </c>
      <c r="N599" s="3">
        <f>IF($B$592=12,'payment summary to Trustee'!$AW599,('payment summary to Trustee'!$BD599-'CDE Intercept  '!$T599)/4)</f>
        <v>0</v>
      </c>
      <c r="O599" s="118">
        <f>IF($B$592=12,'payment summary to Trustee'!$AW599,('payment summary to Trustee'!$BD599-'CDE Intercept  '!$T599)/4)</f>
        <v>0</v>
      </c>
      <c r="P599" s="3">
        <v>0</v>
      </c>
      <c r="Q599" s="3">
        <v>0</v>
      </c>
      <c r="R599" s="3">
        <f>SUM(F599:Q599)</f>
        <v>0</v>
      </c>
      <c r="T599" s="3">
        <f>SUM(F599:J599)</f>
        <v>0</v>
      </c>
      <c r="U599" s="93">
        <f>SUM(K599:Q599)</f>
        <v>0</v>
      </c>
      <c r="V599" s="11">
        <f>SUM(T599:U599)-R599</f>
        <v>0</v>
      </c>
    </row>
    <row r="600" spans="1:22" x14ac:dyDescent="0.3">
      <c r="B600" s="103">
        <v>9.1999999999999993</v>
      </c>
      <c r="E600" s="8" t="s">
        <v>9</v>
      </c>
      <c r="F600" s="3">
        <v>250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f>IF($B$592=12,'payment summary to Trustee'!$AW600,('payment summary to Trustee'!$BD600-'CDE Intercept  '!$T600)/4)</f>
        <v>0</v>
      </c>
      <c r="O600" s="118">
        <f>IF($B$592=12,'payment summary to Trustee'!$AW600,('payment summary to Trustee'!$BD600-'CDE Intercept  '!$T600)/4)</f>
        <v>0</v>
      </c>
      <c r="P600" s="3">
        <v>0</v>
      </c>
      <c r="Q600" s="3">
        <v>0</v>
      </c>
      <c r="R600" s="3">
        <f>SUM(F600:Q600)</f>
        <v>250</v>
      </c>
      <c r="T600" s="3">
        <f t="shared" ref="T600:T601" si="217">SUM(F600:J600)</f>
        <v>250</v>
      </c>
      <c r="U600" s="93">
        <f>SUM(K600:Q600)</f>
        <v>0</v>
      </c>
      <c r="V600" s="11">
        <f>SUM(T600:U600)-R600</f>
        <v>0</v>
      </c>
    </row>
    <row r="601" spans="1:22" ht="13.5" thickBot="1" x14ac:dyDescent="0.35">
      <c r="A601" t="s">
        <v>291</v>
      </c>
      <c r="B601" s="103">
        <v>9.3000000000000007</v>
      </c>
      <c r="E601" s="8" t="s">
        <v>10</v>
      </c>
      <c r="F601" s="3">
        <f>11666.67+12598.96</f>
        <v>24265.629999999997</v>
      </c>
      <c r="G601" s="3">
        <f>11166.67+12598.96</f>
        <v>23765.629999999997</v>
      </c>
      <c r="H601" s="3">
        <f>11666.66+12598.96</f>
        <v>24265.62</v>
      </c>
      <c r="I601" s="3">
        <f>11666.67+12512.92+500</f>
        <v>24679.59</v>
      </c>
      <c r="J601" s="3">
        <f>11666.67+12512.92</f>
        <v>24179.59</v>
      </c>
      <c r="K601" s="3">
        <f>11666.66+12512.92</f>
        <v>24179.58</v>
      </c>
      <c r="L601" s="3">
        <f>21666.67+12426.88</f>
        <v>34093.549999999996</v>
      </c>
      <c r="M601" s="3">
        <f>21666.67+12426.88</f>
        <v>34093.549999999996</v>
      </c>
      <c r="N601" s="3">
        <v>0</v>
      </c>
      <c r="O601" s="118">
        <f>11666.67+12267.08+34093.53+23933.75+23933.75</f>
        <v>105894.78</v>
      </c>
      <c r="P601" s="3">
        <v>0</v>
      </c>
      <c r="Q601" s="3">
        <v>0</v>
      </c>
      <c r="R601" s="3">
        <f>SUM(F601:Q601)</f>
        <v>319417.51999999996</v>
      </c>
      <c r="T601" s="3">
        <f t="shared" si="217"/>
        <v>121156.05999999998</v>
      </c>
      <c r="U601" s="94">
        <f>SUM(K601:Q601)</f>
        <v>198261.46</v>
      </c>
      <c r="V601" s="11">
        <f>SUM(T601:U601)-R601</f>
        <v>0</v>
      </c>
    </row>
    <row r="602" spans="1:22" ht="13.5" thickBot="1" x14ac:dyDescent="0.35">
      <c r="E602" s="13" t="s">
        <v>292</v>
      </c>
      <c r="F602" s="22">
        <f t="shared" ref="F602:R602" si="218">SUM(F599:F601)</f>
        <v>24515.629999999997</v>
      </c>
      <c r="G602" s="22">
        <f t="shared" si="218"/>
        <v>23765.629999999997</v>
      </c>
      <c r="H602" s="22">
        <f t="shared" si="218"/>
        <v>24265.62</v>
      </c>
      <c r="I602" s="22">
        <f t="shared" si="218"/>
        <v>24679.59</v>
      </c>
      <c r="J602" s="22">
        <f t="shared" si="218"/>
        <v>24179.59</v>
      </c>
      <c r="K602" s="22">
        <f t="shared" si="218"/>
        <v>24179.58</v>
      </c>
      <c r="L602" s="22">
        <f t="shared" si="218"/>
        <v>34093.549999999996</v>
      </c>
      <c r="M602" s="22">
        <f t="shared" si="218"/>
        <v>34093.549999999996</v>
      </c>
      <c r="N602" s="22">
        <f t="shared" si="218"/>
        <v>0</v>
      </c>
      <c r="O602" s="119">
        <f t="shared" si="218"/>
        <v>105894.78</v>
      </c>
      <c r="P602" s="22">
        <f t="shared" si="218"/>
        <v>0</v>
      </c>
      <c r="Q602" s="22">
        <f t="shared" si="218"/>
        <v>0</v>
      </c>
      <c r="R602" s="22">
        <f t="shared" si="218"/>
        <v>319667.51999999996</v>
      </c>
      <c r="T602" s="39">
        <f>SUM(T599:T601)</f>
        <v>121406.05999999998</v>
      </c>
      <c r="U602" s="78">
        <f>SUM(U599:U601)</f>
        <v>198261.46</v>
      </c>
      <c r="V602" s="11">
        <f>SUM(T602:U602)-R602</f>
        <v>0</v>
      </c>
    </row>
    <row r="603" spans="1:22" x14ac:dyDescent="0.3">
      <c r="E603" s="15"/>
      <c r="O603" s="118"/>
    </row>
    <row r="604" spans="1:22" ht="15.5" x14ac:dyDescent="0.35">
      <c r="B604">
        <v>12</v>
      </c>
      <c r="C604" s="20">
        <f>+C598+1</f>
        <v>67</v>
      </c>
      <c r="D604" s="1" t="s">
        <v>14</v>
      </c>
      <c r="E604" s="25" t="s">
        <v>293</v>
      </c>
      <c r="O604" s="118"/>
    </row>
    <row r="605" spans="1:22" x14ac:dyDescent="0.3">
      <c r="B605">
        <v>12.1</v>
      </c>
      <c r="E605" s="8" t="s">
        <v>8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118">
        <v>0</v>
      </c>
      <c r="P605" s="3">
        <v>0</v>
      </c>
      <c r="Q605" s="3">
        <v>0</v>
      </c>
      <c r="R605" s="3">
        <f>SUM(F605:Q605)</f>
        <v>0</v>
      </c>
      <c r="T605" s="3">
        <f>SUM(F605:J605)</f>
        <v>0</v>
      </c>
      <c r="U605" s="93">
        <f>SUM(K605:Q605)</f>
        <v>0</v>
      </c>
      <c r="V605" s="11">
        <f>SUM(T605:U605)-R605</f>
        <v>0</v>
      </c>
    </row>
    <row r="606" spans="1:22" x14ac:dyDescent="0.3">
      <c r="B606">
        <v>12.2</v>
      </c>
      <c r="E606" s="8" t="s">
        <v>9</v>
      </c>
      <c r="F606" s="3">
        <v>250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118">
        <v>0</v>
      </c>
      <c r="P606" s="3">
        <v>0</v>
      </c>
      <c r="Q606" s="3">
        <v>0</v>
      </c>
      <c r="R606" s="3">
        <f>SUM(F606:Q606)</f>
        <v>250</v>
      </c>
      <c r="T606" s="3">
        <f t="shared" ref="T606:T607" si="219">SUM(F606:J606)</f>
        <v>250</v>
      </c>
      <c r="U606" s="93">
        <f>SUM(K606:Q606)</f>
        <v>0</v>
      </c>
      <c r="V606" s="11">
        <f>SUM(T606:U606)-R606</f>
        <v>0</v>
      </c>
    </row>
    <row r="607" spans="1:22" ht="13.5" thickBot="1" x14ac:dyDescent="0.35">
      <c r="A607" t="s">
        <v>294</v>
      </c>
      <c r="B607">
        <v>12.3</v>
      </c>
      <c r="E607" s="8" t="s">
        <v>10</v>
      </c>
      <c r="F607" s="3">
        <f>47500+131158.86</f>
        <v>178658.86</v>
      </c>
      <c r="G607" s="3">
        <f t="shared" ref="G607:J607" si="220">47500+131158.86</f>
        <v>178658.86</v>
      </c>
      <c r="H607" s="3">
        <f t="shared" si="220"/>
        <v>178658.86</v>
      </c>
      <c r="I607" s="3">
        <f t="shared" si="220"/>
        <v>178658.86</v>
      </c>
      <c r="J607" s="3">
        <f t="shared" si="220"/>
        <v>178658.86</v>
      </c>
      <c r="K607" s="3">
        <f>47500+131158.83</f>
        <v>178658.83</v>
      </c>
      <c r="L607" s="3">
        <f>47500+131158.86</f>
        <v>178658.86</v>
      </c>
      <c r="M607" s="3">
        <f t="shared" ref="M607:P607" si="221">47500+131158.86</f>
        <v>178658.86</v>
      </c>
      <c r="N607" s="3">
        <f t="shared" si="221"/>
        <v>178658.86</v>
      </c>
      <c r="O607" s="118">
        <f t="shared" si="221"/>
        <v>178658.86</v>
      </c>
      <c r="P607" s="3">
        <f t="shared" si="221"/>
        <v>178658.86</v>
      </c>
      <c r="Q607" s="3">
        <f>47500+131158.83</f>
        <v>178658.83</v>
      </c>
      <c r="R607" s="3">
        <f>SUM(F607:Q607)</f>
        <v>2143906.2599999993</v>
      </c>
      <c r="T607" s="3">
        <f t="shared" si="219"/>
        <v>893294.29999999993</v>
      </c>
      <c r="U607" s="94">
        <f>SUM(K607:Q607)</f>
        <v>1250611.96</v>
      </c>
      <c r="V607" s="11">
        <f>SUM(T607:U607)-R607</f>
        <v>0</v>
      </c>
    </row>
    <row r="608" spans="1:22" ht="13.5" thickBot="1" x14ac:dyDescent="0.35">
      <c r="E608" s="13" t="s">
        <v>295</v>
      </c>
      <c r="F608" s="22">
        <f t="shared" ref="F608:R608" si="222">SUM(F605:F607)</f>
        <v>178908.86</v>
      </c>
      <c r="G608" s="22">
        <f t="shared" si="222"/>
        <v>178658.86</v>
      </c>
      <c r="H608" s="22">
        <f t="shared" si="222"/>
        <v>178658.86</v>
      </c>
      <c r="I608" s="22">
        <f t="shared" si="222"/>
        <v>178658.86</v>
      </c>
      <c r="J608" s="22">
        <f t="shared" si="222"/>
        <v>178658.86</v>
      </c>
      <c r="K608" s="22">
        <f t="shared" si="222"/>
        <v>178658.83</v>
      </c>
      <c r="L608" s="22">
        <f t="shared" si="222"/>
        <v>178658.86</v>
      </c>
      <c r="M608" s="22">
        <f t="shared" si="222"/>
        <v>178658.86</v>
      </c>
      <c r="N608" s="22">
        <f t="shared" si="222"/>
        <v>178658.86</v>
      </c>
      <c r="O608" s="119">
        <f t="shared" si="222"/>
        <v>178658.86</v>
      </c>
      <c r="P608" s="22">
        <f t="shared" si="222"/>
        <v>178658.86</v>
      </c>
      <c r="Q608" s="22">
        <f t="shared" si="222"/>
        <v>178658.83</v>
      </c>
      <c r="R608" s="22">
        <f t="shared" si="222"/>
        <v>2144156.2599999993</v>
      </c>
      <c r="T608" s="39">
        <f>SUM(T605:T607)</f>
        <v>893544.29999999993</v>
      </c>
      <c r="U608" s="78">
        <f>SUM(U605:U607)</f>
        <v>1250611.96</v>
      </c>
      <c r="V608" s="11">
        <f>SUM(T608:U608)-R608</f>
        <v>0</v>
      </c>
    </row>
    <row r="609" spans="1:22" x14ac:dyDescent="0.3">
      <c r="E609" s="15"/>
      <c r="O609" s="118"/>
    </row>
    <row r="610" spans="1:22" ht="15.5" x14ac:dyDescent="0.35">
      <c r="B610">
        <v>9</v>
      </c>
      <c r="C610" s="20">
        <f>+C604+1</f>
        <v>68</v>
      </c>
      <c r="D610" s="1" t="s">
        <v>14</v>
      </c>
      <c r="E610" s="25" t="s">
        <v>296</v>
      </c>
      <c r="O610" s="118"/>
      <c r="U610" s="94"/>
      <c r="V610" s="11"/>
    </row>
    <row r="611" spans="1:22" x14ac:dyDescent="0.3">
      <c r="B611">
        <v>9.1</v>
      </c>
      <c r="E611" s="8" t="s">
        <v>8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f>IF($B$610=12,'payment summary to Trustee'!$AW611,('payment summary to Trustee'!$BD611-'CDE Intercept  '!$T611)/4)</f>
        <v>0</v>
      </c>
      <c r="L611" s="3">
        <f>IF($B$610=12,'payment summary to Trustee'!$AW611,('payment summary to Trustee'!$BD611-'CDE Intercept  '!$T611)/4)</f>
        <v>0</v>
      </c>
      <c r="M611" s="3">
        <f>IF($B$610=12,'payment summary to Trustee'!$AW611,('payment summary to Trustee'!$BD611-'CDE Intercept  '!$T611)/4)</f>
        <v>0</v>
      </c>
      <c r="N611" s="3">
        <v>0</v>
      </c>
      <c r="O611" s="118">
        <f>IF($B$610=12,'payment summary to Trustee'!$AW611,('payment summary to Trustee'!$BD611-'CDE Intercept  '!$T611)/4)</f>
        <v>0</v>
      </c>
      <c r="P611" s="3">
        <v>0</v>
      </c>
      <c r="Q611" s="3">
        <v>0</v>
      </c>
      <c r="R611" s="3">
        <f>SUM(F611:Q611)</f>
        <v>0</v>
      </c>
      <c r="T611" s="3">
        <f>SUM(F611:J611)</f>
        <v>0</v>
      </c>
      <c r="U611" s="93">
        <f>SUM(K611:Q611)</f>
        <v>0</v>
      </c>
      <c r="V611" s="11">
        <f>SUM(T611:U611)-R611</f>
        <v>0</v>
      </c>
    </row>
    <row r="612" spans="1:22" x14ac:dyDescent="0.3">
      <c r="B612">
        <v>9.1999999999999993</v>
      </c>
      <c r="E612" s="8" t="s">
        <v>9</v>
      </c>
      <c r="F612" s="3">
        <v>250</v>
      </c>
      <c r="G612" s="3">
        <v>0</v>
      </c>
      <c r="H612" s="3">
        <v>0</v>
      </c>
      <c r="I612" s="3">
        <v>0</v>
      </c>
      <c r="J612" s="3">
        <v>0</v>
      </c>
      <c r="K612" s="3">
        <f>IF($B$610=12,'payment summary to Trustee'!$AW612,('payment summary to Trustee'!$BD612-'CDE Intercept  '!$T612)/4)</f>
        <v>0</v>
      </c>
      <c r="L612" s="3">
        <f>IF($B$610=12,'payment summary to Trustee'!$AW612,('payment summary to Trustee'!$BD612-'CDE Intercept  '!$T612)/4)</f>
        <v>0</v>
      </c>
      <c r="M612" s="3">
        <f>IF($B$610=12,'payment summary to Trustee'!$AW612,('payment summary to Trustee'!$BD612-'CDE Intercept  '!$T612)/4)</f>
        <v>0</v>
      </c>
      <c r="N612" s="3">
        <v>0</v>
      </c>
      <c r="O612" s="118">
        <f>IF($B$610=12,'payment summary to Trustee'!$AW612,('payment summary to Trustee'!$BD612-'CDE Intercept  '!$T612)/4)</f>
        <v>0</v>
      </c>
      <c r="P612" s="3">
        <v>0</v>
      </c>
      <c r="Q612" s="3">
        <v>0</v>
      </c>
      <c r="R612" s="3">
        <f>SUM(F612:Q612)</f>
        <v>250</v>
      </c>
      <c r="T612" s="3">
        <f t="shared" ref="T612:T613" si="223">SUM(F612:J612)</f>
        <v>250</v>
      </c>
      <c r="U612" s="93">
        <f>SUM(K612:Q612)</f>
        <v>0</v>
      </c>
      <c r="V612" s="11">
        <f>SUM(T612:U612)-R612</f>
        <v>0</v>
      </c>
    </row>
    <row r="613" spans="1:22" ht="13.5" thickBot="1" x14ac:dyDescent="0.35">
      <c r="A613" t="s">
        <v>297</v>
      </c>
      <c r="B613">
        <v>9.3000000000000007</v>
      </c>
      <c r="E613" s="8" t="s">
        <v>10</v>
      </c>
      <c r="F613" s="3">
        <f>31250+86351.56</f>
        <v>117601.56</v>
      </c>
      <c r="G613" s="3">
        <f t="shared" ref="G613:J613" si="224">31250+86351.56</f>
        <v>117601.56</v>
      </c>
      <c r="H613" s="3">
        <f t="shared" si="224"/>
        <v>117601.56</v>
      </c>
      <c r="I613" s="3">
        <f t="shared" si="224"/>
        <v>117601.56</v>
      </c>
      <c r="J613" s="3">
        <f t="shared" si="224"/>
        <v>117601.56</v>
      </c>
      <c r="K613" s="3">
        <f>IF($B$610=12,'payment summary to Trustee'!$AW613,('payment summary to Trustee'!$BD613-'CDE Intercept  '!$T613)/4)</f>
        <v>205802.74000000005</v>
      </c>
      <c r="L613" s="3">
        <f>IF($B$610=12,'payment summary to Trustee'!$AW613,('payment summary to Trustee'!$BD613-'CDE Intercept  '!$T613)/4)</f>
        <v>205802.74000000005</v>
      </c>
      <c r="M613" s="3">
        <f>IF($B$610=12,'payment summary to Trustee'!$AW613,('payment summary to Trustee'!$BD613-'CDE Intercept  '!$T613)/4)</f>
        <v>205802.74000000005</v>
      </c>
      <c r="N613" s="3">
        <v>0</v>
      </c>
      <c r="O613" s="118">
        <f>IF($B$610=12,'payment summary to Trustee'!$AW613,('payment summary to Trustee'!$BD613-'CDE Intercept  '!$T613)/4)</f>
        <v>205802.74000000005</v>
      </c>
      <c r="P613" s="3">
        <v>0</v>
      </c>
      <c r="Q613" s="3">
        <v>0</v>
      </c>
      <c r="R613" s="3">
        <f>SUM(F613:Q613)</f>
        <v>1411218.76</v>
      </c>
      <c r="T613" s="3">
        <f t="shared" si="223"/>
        <v>588007.80000000005</v>
      </c>
      <c r="U613" s="94">
        <f>SUM(K613:Q613)</f>
        <v>823210.9600000002</v>
      </c>
      <c r="V613" s="11">
        <f>SUM(T613:U613)-R613</f>
        <v>0</v>
      </c>
    </row>
    <row r="614" spans="1:22" ht="13.5" thickBot="1" x14ac:dyDescent="0.35">
      <c r="E614" s="13" t="s">
        <v>298</v>
      </c>
      <c r="F614" s="22">
        <f t="shared" ref="F614:R614" si="225">SUM(F611:F613)</f>
        <v>117851.56</v>
      </c>
      <c r="G614" s="22">
        <f t="shared" si="225"/>
        <v>117601.56</v>
      </c>
      <c r="H614" s="22">
        <f t="shared" si="225"/>
        <v>117601.56</v>
      </c>
      <c r="I614" s="22">
        <f t="shared" si="225"/>
        <v>117601.56</v>
      </c>
      <c r="J614" s="22">
        <f t="shared" si="225"/>
        <v>117601.56</v>
      </c>
      <c r="K614" s="22">
        <f t="shared" si="225"/>
        <v>205802.74000000005</v>
      </c>
      <c r="L614" s="22">
        <f t="shared" si="225"/>
        <v>205802.74000000005</v>
      </c>
      <c r="M614" s="22">
        <f t="shared" si="225"/>
        <v>205802.74000000005</v>
      </c>
      <c r="N614" s="22">
        <f t="shared" si="225"/>
        <v>0</v>
      </c>
      <c r="O614" s="119">
        <f t="shared" si="225"/>
        <v>205802.74000000005</v>
      </c>
      <c r="P614" s="22">
        <f t="shared" ref="P614" si="226">SUM(P611:P613)</f>
        <v>0</v>
      </c>
      <c r="Q614" s="22">
        <f t="shared" si="225"/>
        <v>0</v>
      </c>
      <c r="R614" s="22">
        <f t="shared" si="225"/>
        <v>1411468.76</v>
      </c>
      <c r="T614" s="39">
        <f>SUM(T611:T613)</f>
        <v>588257.80000000005</v>
      </c>
      <c r="U614" s="78">
        <f>SUM(U611:U613)</f>
        <v>823210.9600000002</v>
      </c>
      <c r="V614" s="11">
        <f>SUM(T614:U614)-R614</f>
        <v>0</v>
      </c>
    </row>
    <row r="615" spans="1:22" x14ac:dyDescent="0.3">
      <c r="E615" s="15"/>
      <c r="O615" s="118"/>
    </row>
    <row r="616" spans="1:22" ht="15.5" x14ac:dyDescent="0.35">
      <c r="B616">
        <v>9</v>
      </c>
      <c r="C616" s="20">
        <f>+C610+1</f>
        <v>69</v>
      </c>
      <c r="D616" s="1" t="s">
        <v>14</v>
      </c>
      <c r="E616" s="25" t="s">
        <v>299</v>
      </c>
      <c r="O616" s="118"/>
    </row>
    <row r="617" spans="1:22" x14ac:dyDescent="0.3">
      <c r="B617">
        <v>9.1</v>
      </c>
      <c r="E617" s="8" t="s">
        <v>8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f>IF($B$616=12,'payment summary to Trustee'!$AW617,('payment summary to Trustee'!$BD617-'CDE Intercept  '!$T617)/4)</f>
        <v>0</v>
      </c>
      <c r="L617" s="3">
        <f>IF($B$616=12,'payment summary to Trustee'!$AW617,('payment summary to Trustee'!$BD617-'CDE Intercept  '!$T617)/4)</f>
        <v>0</v>
      </c>
      <c r="M617" s="3">
        <f>IF($B$616=12,'payment summary to Trustee'!$AW617,('payment summary to Trustee'!$BD617-'CDE Intercept  '!$T617)/4)</f>
        <v>0</v>
      </c>
      <c r="N617" s="3">
        <v>0</v>
      </c>
      <c r="O617" s="118">
        <f>IF($B$616=12,'payment summary to Trustee'!$AW617,('payment summary to Trustee'!$BD617-'CDE Intercept  '!$T617)/4)</f>
        <v>0</v>
      </c>
      <c r="P617" s="3">
        <v>0</v>
      </c>
      <c r="Q617" s="3">
        <v>0</v>
      </c>
      <c r="R617" s="3">
        <f>SUM(F617:Q617)</f>
        <v>0</v>
      </c>
      <c r="T617" s="3">
        <f>SUM(F617:J617)</f>
        <v>0</v>
      </c>
      <c r="U617" s="93">
        <f>SUM(K617:Q617)</f>
        <v>0</v>
      </c>
      <c r="V617" s="11">
        <f>SUM(T617:U617)-R617</f>
        <v>0</v>
      </c>
    </row>
    <row r="618" spans="1:22" x14ac:dyDescent="0.3">
      <c r="B618">
        <v>9.1999999999999993</v>
      </c>
      <c r="E618" s="8" t="s">
        <v>9</v>
      </c>
      <c r="F618" s="3">
        <v>250</v>
      </c>
      <c r="G618" s="3">
        <v>0</v>
      </c>
      <c r="H618" s="3">
        <v>0</v>
      </c>
      <c r="I618" s="3">
        <v>0</v>
      </c>
      <c r="J618" s="3">
        <v>0</v>
      </c>
      <c r="K618" s="3">
        <f>IF($B$616=12,'payment summary to Trustee'!$AW618,('payment summary to Trustee'!$BD618-'CDE Intercept  '!$T618)/4)</f>
        <v>0</v>
      </c>
      <c r="L618" s="3">
        <f>IF($B$616=12,'payment summary to Trustee'!$AW618,('payment summary to Trustee'!$BD618-'CDE Intercept  '!$T618)/4)</f>
        <v>0</v>
      </c>
      <c r="M618" s="3">
        <f>IF($B$616=12,'payment summary to Trustee'!$AW618,('payment summary to Trustee'!$BD618-'CDE Intercept  '!$T618)/4)</f>
        <v>0</v>
      </c>
      <c r="N618" s="3">
        <v>0</v>
      </c>
      <c r="O618" s="118">
        <f>IF($B$616=12,'payment summary to Trustee'!$AW618,('payment summary to Trustee'!$BD618-'CDE Intercept  '!$T618)/4)</f>
        <v>0</v>
      </c>
      <c r="P618" s="3">
        <v>0</v>
      </c>
      <c r="Q618" s="3">
        <v>0</v>
      </c>
      <c r="R618" s="3">
        <f>SUM(F618:Q618)</f>
        <v>250</v>
      </c>
      <c r="T618" s="3">
        <f t="shared" ref="T618:T619" si="227">SUM(F618:J618)</f>
        <v>250</v>
      </c>
      <c r="U618" s="93">
        <f>SUM(K618:Q618)</f>
        <v>0</v>
      </c>
      <c r="V618" s="11">
        <f>SUM(T618:U618)-R618</f>
        <v>0</v>
      </c>
    </row>
    <row r="619" spans="1:22" ht="13.5" thickBot="1" x14ac:dyDescent="0.35">
      <c r="A619" t="s">
        <v>300</v>
      </c>
      <c r="B619">
        <v>9.3000000000000007</v>
      </c>
      <c r="E619" s="8" t="s">
        <v>10</v>
      </c>
      <c r="F619" s="3">
        <f>7916.67+11200.5</f>
        <v>19117.169999999998</v>
      </c>
      <c r="G619" s="3">
        <f t="shared" ref="G619:J619" si="228">7916.67+11200.5</f>
        <v>19117.169999999998</v>
      </c>
      <c r="H619" s="3">
        <f t="shared" si="228"/>
        <v>19117.169999999998</v>
      </c>
      <c r="I619" s="3">
        <f t="shared" si="228"/>
        <v>19117.169999999998</v>
      </c>
      <c r="J619" s="3">
        <f t="shared" si="228"/>
        <v>19117.169999999998</v>
      </c>
      <c r="K619" s="3">
        <f>IF($B$616=12,'payment summary to Trustee'!$AW619,('payment summary to Trustee'!$BD619-'CDE Intercept  '!$T619)/4)</f>
        <v>33491.514999999999</v>
      </c>
      <c r="L619" s="3">
        <f>IF($B$616=12,'payment summary to Trustee'!$AW619,('payment summary to Trustee'!$BD619-'CDE Intercept  '!$T619)/4)</f>
        <v>33491.514999999999</v>
      </c>
      <c r="M619" s="3">
        <f>IF($B$616=12,'payment summary to Trustee'!$AW619,('payment summary to Trustee'!$BD619-'CDE Intercept  '!$T619)/4)</f>
        <v>33491.514999999999</v>
      </c>
      <c r="N619" s="3">
        <v>0</v>
      </c>
      <c r="O619" s="118">
        <f>IF($B$616=12,'payment summary to Trustee'!$AW619,('payment summary to Trustee'!$BD619-'CDE Intercept  '!$T619)/4)</f>
        <v>33491.514999999999</v>
      </c>
      <c r="P619" s="3">
        <v>0</v>
      </c>
      <c r="Q619" s="3">
        <v>0</v>
      </c>
      <c r="R619" s="3">
        <f>SUM(F619:Q619)</f>
        <v>229551.91000000003</v>
      </c>
      <c r="T619" s="3">
        <f t="shared" si="227"/>
        <v>95585.849999999991</v>
      </c>
      <c r="U619" s="94">
        <f>SUM(K619:Q619)</f>
        <v>133966.06</v>
      </c>
      <c r="V619" s="11">
        <f>SUM(T619:U619)-R619</f>
        <v>0</v>
      </c>
    </row>
    <row r="620" spans="1:22" ht="13.5" thickBot="1" x14ac:dyDescent="0.35">
      <c r="E620" s="13" t="s">
        <v>301</v>
      </c>
      <c r="F620" s="22">
        <f t="shared" ref="F620:R620" si="229">SUM(F617:F619)</f>
        <v>19367.169999999998</v>
      </c>
      <c r="G620" s="22">
        <f t="shared" si="229"/>
        <v>19117.169999999998</v>
      </c>
      <c r="H620" s="22">
        <f t="shared" si="229"/>
        <v>19117.169999999998</v>
      </c>
      <c r="I620" s="22">
        <f t="shared" si="229"/>
        <v>19117.169999999998</v>
      </c>
      <c r="J620" s="22">
        <f t="shared" si="229"/>
        <v>19117.169999999998</v>
      </c>
      <c r="K620" s="22">
        <f t="shared" si="229"/>
        <v>33491.514999999999</v>
      </c>
      <c r="L620" s="22">
        <f t="shared" si="229"/>
        <v>33491.514999999999</v>
      </c>
      <c r="M620" s="22">
        <f t="shared" si="229"/>
        <v>33491.514999999999</v>
      </c>
      <c r="N620" s="22">
        <f t="shared" si="229"/>
        <v>0</v>
      </c>
      <c r="O620" s="119">
        <f t="shared" si="229"/>
        <v>33491.514999999999</v>
      </c>
      <c r="P620" s="22">
        <f t="shared" ref="P620" si="230">SUM(P617:P619)</f>
        <v>0</v>
      </c>
      <c r="Q620" s="22">
        <f t="shared" si="229"/>
        <v>0</v>
      </c>
      <c r="R620" s="22">
        <f t="shared" si="229"/>
        <v>229801.91000000003</v>
      </c>
      <c r="T620" s="39">
        <f>SUM(T617:T619)</f>
        <v>95835.849999999991</v>
      </c>
      <c r="U620" s="78">
        <f>SUM(U617:U619)</f>
        <v>133966.06</v>
      </c>
      <c r="V620" s="11">
        <f>SUM(T620:U620)-R620</f>
        <v>0</v>
      </c>
    </row>
    <row r="621" spans="1:22" x14ac:dyDescent="0.3">
      <c r="E621" s="15"/>
      <c r="O621" s="118"/>
    </row>
    <row r="622" spans="1:22" ht="15.5" x14ac:dyDescent="0.35">
      <c r="B622">
        <v>9</v>
      </c>
      <c r="C622" s="20">
        <f>+C616+1</f>
        <v>70</v>
      </c>
      <c r="D622" s="1" t="s">
        <v>14</v>
      </c>
      <c r="E622" s="25" t="s">
        <v>302</v>
      </c>
      <c r="O622" s="118"/>
    </row>
    <row r="623" spans="1:22" x14ac:dyDescent="0.3">
      <c r="B623">
        <v>9.1</v>
      </c>
      <c r="E623" s="8" t="s">
        <v>8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f>IF($B$622=12,'payment summary to Trustee'!$AW623,('payment summary to Trustee'!$BD623-'CDE Intercept  '!$T623)/4)</f>
        <v>0</v>
      </c>
      <c r="L623" s="3">
        <f>IF($B$622=12,'payment summary to Trustee'!$AW623,('payment summary to Trustee'!$BD623-'CDE Intercept  '!$T623)/4)</f>
        <v>0</v>
      </c>
      <c r="M623" s="3">
        <f>IF($B$622=12,'payment summary to Trustee'!$AW623,('payment summary to Trustee'!$BD623-'CDE Intercept  '!$T623)/4)</f>
        <v>0</v>
      </c>
      <c r="N623" s="3">
        <v>0</v>
      </c>
      <c r="O623" s="118">
        <f>IF($B$622=12,'payment summary to Trustee'!$AW623,('payment summary to Trustee'!$BD623-'CDE Intercept  '!$T623)/4)</f>
        <v>0</v>
      </c>
      <c r="P623" s="3">
        <v>0</v>
      </c>
      <c r="Q623" s="3">
        <v>0</v>
      </c>
      <c r="R623" s="3">
        <f>SUM(F623:Q623)</f>
        <v>0</v>
      </c>
      <c r="T623" s="3">
        <f>SUM(F623:J623)</f>
        <v>0</v>
      </c>
      <c r="U623" s="93">
        <f>SUM(K623:Q623)</f>
        <v>0</v>
      </c>
      <c r="V623" s="11">
        <f>SUM(T623:U623)-R623</f>
        <v>0</v>
      </c>
    </row>
    <row r="624" spans="1:22" x14ac:dyDescent="0.3">
      <c r="B624">
        <v>9.1999999999999993</v>
      </c>
      <c r="E624" s="8" t="s">
        <v>9</v>
      </c>
      <c r="F624" s="3">
        <v>250</v>
      </c>
      <c r="G624" s="3">
        <v>0</v>
      </c>
      <c r="H624" s="3">
        <v>0</v>
      </c>
      <c r="I624" s="3">
        <v>0</v>
      </c>
      <c r="J624" s="3">
        <v>0</v>
      </c>
      <c r="K624" s="3">
        <f>IF($B$622=12,'payment summary to Trustee'!$AW624,('payment summary to Trustee'!$BD624-'CDE Intercept  '!$T624)/4)</f>
        <v>0</v>
      </c>
      <c r="L624" s="3">
        <f>IF($B$622=12,'payment summary to Trustee'!$AW624,('payment summary to Trustee'!$BD624-'CDE Intercept  '!$T624)/4)</f>
        <v>0</v>
      </c>
      <c r="M624" s="3">
        <f>IF($B$622=12,'payment summary to Trustee'!$AW624,('payment summary to Trustee'!$BD624-'CDE Intercept  '!$T624)/4)</f>
        <v>0</v>
      </c>
      <c r="N624" s="3">
        <v>0</v>
      </c>
      <c r="O624" s="118">
        <f>IF($B$622=12,'payment summary to Trustee'!$AW624,('payment summary to Trustee'!$BD624-'CDE Intercept  '!$T624)/4)</f>
        <v>0</v>
      </c>
      <c r="P624" s="3">
        <v>0</v>
      </c>
      <c r="Q624" s="3">
        <v>0</v>
      </c>
      <c r="R624" s="3">
        <f>SUM(F624:Q624)</f>
        <v>250</v>
      </c>
      <c r="T624" s="3">
        <f t="shared" ref="T624:T625" si="231">SUM(F624:J624)</f>
        <v>250</v>
      </c>
      <c r="U624" s="93">
        <f>SUM(K624:Q624)</f>
        <v>0</v>
      </c>
      <c r="V624" s="11">
        <f>SUM(T624:U624)-R624</f>
        <v>0</v>
      </c>
    </row>
    <row r="625" spans="1:22" ht="13.5" thickBot="1" x14ac:dyDescent="0.35">
      <c r="A625" t="s">
        <v>303</v>
      </c>
      <c r="B625">
        <v>9.3000000000000007</v>
      </c>
      <c r="E625" s="8" t="s">
        <v>10</v>
      </c>
      <c r="F625" s="3">
        <f>11666.67+24419.79</f>
        <v>36086.46</v>
      </c>
      <c r="G625" s="3">
        <f t="shared" ref="G625:H625" si="232">11666.67+24419.79</f>
        <v>36086.46</v>
      </c>
      <c r="H625" s="3">
        <f t="shared" si="232"/>
        <v>36086.46</v>
      </c>
      <c r="I625" s="3">
        <f>11666.63+24419.8</f>
        <v>36086.43</v>
      </c>
      <c r="J625" s="3">
        <f>11666.67+23789.06</f>
        <v>35455.730000000003</v>
      </c>
      <c r="K625" s="3">
        <f>IF($B$622=12,'payment summary to Trustee'!$AW625,('payment summary to Trustee'!$BD625-'CDE Intercept  '!$T625)/4)</f>
        <v>62047.532499999994</v>
      </c>
      <c r="L625" s="3">
        <f>IF($B$622=12,'payment summary to Trustee'!$AW625,('payment summary to Trustee'!$BD625-'CDE Intercept  '!$T625)/4)</f>
        <v>62047.532499999994</v>
      </c>
      <c r="M625" s="3">
        <f>IF($B$622=12,'payment summary to Trustee'!$AW625,('payment summary to Trustee'!$BD625-'CDE Intercept  '!$T625)/4)</f>
        <v>62047.532499999994</v>
      </c>
      <c r="N625" s="3">
        <v>0</v>
      </c>
      <c r="O625" s="118">
        <f>IF($B$622=12,'payment summary to Trustee'!$AW625,('payment summary to Trustee'!$BD625-'CDE Intercept  '!$T625)/4)</f>
        <v>62047.532499999994</v>
      </c>
      <c r="P625" s="3">
        <v>0</v>
      </c>
      <c r="Q625" s="3">
        <v>0</v>
      </c>
      <c r="R625" s="3">
        <f>SUM(F625:Q625)</f>
        <v>427991.66999999993</v>
      </c>
      <c r="T625" s="3">
        <f t="shared" si="231"/>
        <v>179801.54</v>
      </c>
      <c r="U625" s="94">
        <f>SUM(K625:Q625)</f>
        <v>248190.12999999998</v>
      </c>
      <c r="V625" s="11">
        <f>SUM(T625:U625)-R625</f>
        <v>0</v>
      </c>
    </row>
    <row r="626" spans="1:22" ht="13.5" thickBot="1" x14ac:dyDescent="0.35">
      <c r="E626" s="13" t="s">
        <v>57</v>
      </c>
      <c r="F626" s="22">
        <f t="shared" ref="F626:R626" si="233">SUM(F623:F625)</f>
        <v>36336.46</v>
      </c>
      <c r="G626" s="22">
        <f t="shared" si="233"/>
        <v>36086.46</v>
      </c>
      <c r="H626" s="22">
        <f t="shared" si="233"/>
        <v>36086.46</v>
      </c>
      <c r="I626" s="22">
        <f t="shared" si="233"/>
        <v>36086.43</v>
      </c>
      <c r="J626" s="22">
        <f t="shared" si="233"/>
        <v>35455.730000000003</v>
      </c>
      <c r="K626" s="22">
        <f t="shared" si="233"/>
        <v>62047.532499999994</v>
      </c>
      <c r="L626" s="22">
        <f t="shared" si="233"/>
        <v>62047.532499999994</v>
      </c>
      <c r="M626" s="22">
        <f t="shared" si="233"/>
        <v>62047.532499999994</v>
      </c>
      <c r="N626" s="22">
        <f t="shared" si="233"/>
        <v>0</v>
      </c>
      <c r="O626" s="119">
        <f t="shared" si="233"/>
        <v>62047.532499999994</v>
      </c>
      <c r="P626" s="22">
        <f t="shared" ref="P626" si="234">SUM(P623:P625)</f>
        <v>0</v>
      </c>
      <c r="Q626" s="22">
        <f t="shared" si="233"/>
        <v>0</v>
      </c>
      <c r="R626" s="22">
        <f t="shared" si="233"/>
        <v>428241.66999999993</v>
      </c>
      <c r="T626" s="39">
        <f>SUM(T623:T625)</f>
        <v>180051.54</v>
      </c>
      <c r="U626" s="78">
        <f>SUM(U623:U625)</f>
        <v>248190.12999999998</v>
      </c>
      <c r="V626" s="11">
        <f>SUM(T626:U626)-R626</f>
        <v>0</v>
      </c>
    </row>
    <row r="627" spans="1:22" x14ac:dyDescent="0.3">
      <c r="E627" s="15"/>
      <c r="O627" s="118"/>
    </row>
    <row r="628" spans="1:22" ht="15.5" x14ac:dyDescent="0.35">
      <c r="B628">
        <v>12</v>
      </c>
      <c r="C628" s="20">
        <f>+C622+1</f>
        <v>71</v>
      </c>
      <c r="D628" s="1" t="s">
        <v>14</v>
      </c>
      <c r="E628" s="25" t="s">
        <v>304</v>
      </c>
      <c r="O628" s="118"/>
    </row>
    <row r="629" spans="1:22" x14ac:dyDescent="0.3">
      <c r="B629">
        <v>12.1</v>
      </c>
      <c r="E629" s="8" t="s">
        <v>8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118">
        <v>0</v>
      </c>
      <c r="P629" s="3">
        <v>0</v>
      </c>
      <c r="Q629" s="3">
        <v>0</v>
      </c>
      <c r="R629" s="3">
        <f>SUM(F629:Q629)</f>
        <v>0</v>
      </c>
      <c r="T629" s="3">
        <f>SUM(F629:J629)</f>
        <v>0</v>
      </c>
      <c r="U629" s="93">
        <f>SUM(K629:Q629)</f>
        <v>0</v>
      </c>
      <c r="V629" s="11">
        <f>SUM(T629:U629)-R629</f>
        <v>0</v>
      </c>
    </row>
    <row r="630" spans="1:22" x14ac:dyDescent="0.3">
      <c r="B630">
        <v>12.2</v>
      </c>
      <c r="E630" s="8" t="s">
        <v>9</v>
      </c>
      <c r="F630" s="3">
        <v>250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118">
        <v>0</v>
      </c>
      <c r="P630" s="3">
        <v>0</v>
      </c>
      <c r="Q630" s="3">
        <v>0</v>
      </c>
      <c r="R630" s="3">
        <f>SUM(F630:Q630)</f>
        <v>250</v>
      </c>
      <c r="T630" s="3">
        <f t="shared" ref="T630:T631" si="235">SUM(F630:J630)</f>
        <v>250</v>
      </c>
      <c r="U630" s="93">
        <f>SUM(K630:Q630)</f>
        <v>0</v>
      </c>
      <c r="V630" s="11">
        <f>SUM(T630:U630)-R630</f>
        <v>0</v>
      </c>
    </row>
    <row r="631" spans="1:22" ht="13.5" thickBot="1" x14ac:dyDescent="0.35">
      <c r="A631" t="s">
        <v>305</v>
      </c>
      <c r="B631">
        <v>12.3</v>
      </c>
      <c r="E631" s="8" t="s">
        <v>10</v>
      </c>
      <c r="F631" s="3">
        <f>22500+77045.84</f>
        <v>99545.84</v>
      </c>
      <c r="G631" s="3">
        <f>22500+77045.84</f>
        <v>99545.84</v>
      </c>
      <c r="H631" s="3">
        <f t="shared" ref="H631:I631" si="236">22500+77045.84</f>
        <v>99545.84</v>
      </c>
      <c r="I631" s="3">
        <f t="shared" si="236"/>
        <v>99545.84</v>
      </c>
      <c r="J631" s="3">
        <f>22500+77045.76</f>
        <v>99545.76</v>
      </c>
      <c r="K631" s="3">
        <f>23333.34+76145.84</f>
        <v>99479.18</v>
      </c>
      <c r="L631" s="3">
        <f t="shared" ref="L631:Q631" si="237">23333.34+76145.84</f>
        <v>99479.18</v>
      </c>
      <c r="M631" s="3">
        <f t="shared" si="237"/>
        <v>99479.18</v>
      </c>
      <c r="N631" s="3">
        <f t="shared" si="237"/>
        <v>99479.18</v>
      </c>
      <c r="O631" s="118">
        <f t="shared" si="237"/>
        <v>99479.18</v>
      </c>
      <c r="P631" s="3">
        <f t="shared" si="237"/>
        <v>99479.18</v>
      </c>
      <c r="Q631" s="3">
        <f t="shared" si="237"/>
        <v>99479.18</v>
      </c>
      <c r="R631" s="3">
        <f>SUM(F631:Q631)</f>
        <v>1194083.3799999997</v>
      </c>
      <c r="T631" s="3">
        <f t="shared" si="235"/>
        <v>497729.12</v>
      </c>
      <c r="U631" s="94">
        <f>SUM(K631:Q631)</f>
        <v>696354.26</v>
      </c>
      <c r="V631" s="11">
        <f>SUM(T631:U631)-R631</f>
        <v>0</v>
      </c>
    </row>
    <row r="632" spans="1:22" ht="13.5" thickBot="1" x14ac:dyDescent="0.35">
      <c r="E632" s="13" t="s">
        <v>306</v>
      </c>
      <c r="F632" s="22">
        <f t="shared" ref="F632:R632" si="238">SUM(F629:F631)</f>
        <v>99795.839999999997</v>
      </c>
      <c r="G632" s="22">
        <f t="shared" si="238"/>
        <v>99545.84</v>
      </c>
      <c r="H632" s="22">
        <f t="shared" si="238"/>
        <v>99545.84</v>
      </c>
      <c r="I632" s="22">
        <f t="shared" si="238"/>
        <v>99545.84</v>
      </c>
      <c r="J632" s="22">
        <f t="shared" si="238"/>
        <v>99545.76</v>
      </c>
      <c r="K632" s="22">
        <f t="shared" si="238"/>
        <v>99479.18</v>
      </c>
      <c r="L632" s="22">
        <f t="shared" si="238"/>
        <v>99479.18</v>
      </c>
      <c r="M632" s="22">
        <f t="shared" si="238"/>
        <v>99479.18</v>
      </c>
      <c r="N632" s="22">
        <f t="shared" si="238"/>
        <v>99479.18</v>
      </c>
      <c r="O632" s="119">
        <f t="shared" si="238"/>
        <v>99479.18</v>
      </c>
      <c r="P632" s="22">
        <f t="shared" si="238"/>
        <v>99479.18</v>
      </c>
      <c r="Q632" s="22">
        <f t="shared" si="238"/>
        <v>99479.18</v>
      </c>
      <c r="R632" s="22">
        <f t="shared" si="238"/>
        <v>1194333.3799999997</v>
      </c>
      <c r="T632" s="39">
        <f>SUM(T629:T631)</f>
        <v>497979.12</v>
      </c>
      <c r="U632" s="78">
        <f>SUM(U629:U631)</f>
        <v>696354.26</v>
      </c>
      <c r="V632" s="11">
        <f>SUM(T632:U632)-R632</f>
        <v>0</v>
      </c>
    </row>
    <row r="633" spans="1:22" x14ac:dyDescent="0.3">
      <c r="E633" s="15"/>
      <c r="O633" s="118"/>
    </row>
    <row r="634" spans="1:22" ht="15.5" x14ac:dyDescent="0.35">
      <c r="B634">
        <v>9</v>
      </c>
      <c r="C634" s="20">
        <f>+C628+1</f>
        <v>72</v>
      </c>
      <c r="D634" s="1" t="s">
        <v>14</v>
      </c>
      <c r="E634" s="25" t="s">
        <v>307</v>
      </c>
      <c r="O634" s="118"/>
    </row>
    <row r="635" spans="1:22" x14ac:dyDescent="0.3">
      <c r="B635">
        <v>9.1</v>
      </c>
      <c r="E635" s="8" t="s">
        <v>8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f>IF($B$634=12,'payment summary to Trustee'!$AW635,('payment summary to Trustee'!$BD635-'CDE Intercept  '!$T635)/4)</f>
        <v>0</v>
      </c>
      <c r="L635" s="3">
        <f>IF($B$634=12,'payment summary to Trustee'!$AW635,('payment summary to Trustee'!$BD635-'CDE Intercept  '!$T635)/4)</f>
        <v>0</v>
      </c>
      <c r="M635" s="3">
        <f>IF($B$634=12,'payment summary to Trustee'!$AW635,('payment summary to Trustee'!$BD635-'CDE Intercept  '!$T635)/4)</f>
        <v>0</v>
      </c>
      <c r="N635" s="3">
        <v>0</v>
      </c>
      <c r="O635" s="118">
        <f>IF($B$634=12,'payment summary to Trustee'!$AW635,('payment summary to Trustee'!$BD635-'CDE Intercept  '!$T635)/4)</f>
        <v>0</v>
      </c>
      <c r="P635" s="3">
        <v>0</v>
      </c>
      <c r="Q635" s="3">
        <v>0</v>
      </c>
      <c r="R635" s="3">
        <f>SUM(F635:Q635)</f>
        <v>0</v>
      </c>
      <c r="T635" s="3">
        <f>SUM(F635:J635)</f>
        <v>0</v>
      </c>
      <c r="U635" s="93">
        <f>SUM(K635:Q635)</f>
        <v>0</v>
      </c>
      <c r="V635" s="11">
        <f>SUM(T635:U635)-R635</f>
        <v>0</v>
      </c>
    </row>
    <row r="636" spans="1:22" x14ac:dyDescent="0.3">
      <c r="B636">
        <v>9.1999999999999993</v>
      </c>
      <c r="E636" s="8" t="s">
        <v>9</v>
      </c>
      <c r="F636" s="3">
        <v>250</v>
      </c>
      <c r="G636" s="3">
        <v>0</v>
      </c>
      <c r="H636" s="3">
        <v>0</v>
      </c>
      <c r="I636" s="3">
        <v>0</v>
      </c>
      <c r="J636" s="3">
        <v>0</v>
      </c>
      <c r="K636" s="3">
        <f>IF($B$634=12,'payment summary to Trustee'!$AW636,('payment summary to Trustee'!$BD636-'CDE Intercept  '!$T636)/4)</f>
        <v>0</v>
      </c>
      <c r="L636" s="3">
        <f>IF($B$634=12,'payment summary to Trustee'!$AW636,('payment summary to Trustee'!$BD636-'CDE Intercept  '!$T636)/4)</f>
        <v>0</v>
      </c>
      <c r="M636" s="3">
        <f>IF($B$634=12,'payment summary to Trustee'!$AW636,('payment summary to Trustee'!$BD636-'CDE Intercept  '!$T636)/4)</f>
        <v>0</v>
      </c>
      <c r="N636" s="3">
        <v>0</v>
      </c>
      <c r="O636" s="118">
        <f>IF($B$634=12,'payment summary to Trustee'!$AW636,('payment summary to Trustee'!$BD636-'CDE Intercept  '!$T636)/4)</f>
        <v>0</v>
      </c>
      <c r="P636" s="3">
        <v>0</v>
      </c>
      <c r="Q636" s="3">
        <v>0</v>
      </c>
      <c r="R636" s="3">
        <f>SUM(F636:Q636)</f>
        <v>250</v>
      </c>
      <c r="T636" s="3">
        <f t="shared" ref="T636:T637" si="239">SUM(F636:J636)</f>
        <v>250</v>
      </c>
      <c r="U636" s="93">
        <f>SUM(K636:Q636)</f>
        <v>0</v>
      </c>
      <c r="V636" s="11">
        <f>SUM(T636:U636)-R636</f>
        <v>0</v>
      </c>
    </row>
    <row r="637" spans="1:22" ht="13.5" thickBot="1" x14ac:dyDescent="0.35">
      <c r="A637" t="s">
        <v>308</v>
      </c>
      <c r="B637">
        <v>9.3000000000000007</v>
      </c>
      <c r="E637" s="8" t="s">
        <v>10</v>
      </c>
      <c r="F637" s="3">
        <f>15000+12845.62</f>
        <v>27845.620000000003</v>
      </c>
      <c r="G637" s="3">
        <f>15000+12785.95</f>
        <v>27785.95</v>
      </c>
      <c r="H637" s="3">
        <f>15000+12315.75</f>
        <v>27315.75</v>
      </c>
      <c r="I637" s="3">
        <f>15000+12666.6</f>
        <v>27666.6</v>
      </c>
      <c r="J637" s="3">
        <f>15000+12200.25</f>
        <v>27200.25</v>
      </c>
      <c r="K637" s="3">
        <f>IF($B$634=12,'payment summary to Trustee'!$AW637,('payment summary to Trustee'!$BD637-'CDE Intercept  '!$T637)/4)</f>
        <v>47396.152500000004</v>
      </c>
      <c r="L637" s="3">
        <f>IF($B$634=12,'payment summary to Trustee'!$AW637,('payment summary to Trustee'!$BD637-'CDE Intercept  '!$T637)/4)</f>
        <v>47396.152500000004</v>
      </c>
      <c r="M637" s="3">
        <f>IF($B$634=12,'payment summary to Trustee'!$AW637,('payment summary to Trustee'!$BD637-'CDE Intercept  '!$T637)/4)</f>
        <v>47396.152500000004</v>
      </c>
      <c r="N637" s="3">
        <v>0</v>
      </c>
      <c r="O637" s="118">
        <f>IF($B$634=12,'payment summary to Trustee'!$AW637,('payment summary to Trustee'!$BD637-'CDE Intercept  '!$T637)/4)</f>
        <v>47396.152500000004</v>
      </c>
      <c r="P637" s="3">
        <v>0</v>
      </c>
      <c r="Q637" s="3">
        <v>0</v>
      </c>
      <c r="R637" s="3">
        <f>SUM(F637:Q637)</f>
        <v>327398.78000000003</v>
      </c>
      <c r="T637" s="3">
        <f t="shared" si="239"/>
        <v>137814.17000000001</v>
      </c>
      <c r="U637" s="94">
        <f>SUM(K637:Q637)</f>
        <v>189584.61000000002</v>
      </c>
      <c r="V637" s="11">
        <f>SUM(T637:U637)-R637</f>
        <v>0</v>
      </c>
    </row>
    <row r="638" spans="1:22" ht="13.5" thickBot="1" x14ac:dyDescent="0.35">
      <c r="E638" s="13" t="s">
        <v>309</v>
      </c>
      <c r="F638" s="22">
        <f t="shared" ref="F638:R638" si="240">SUM(F635:F637)</f>
        <v>28095.620000000003</v>
      </c>
      <c r="G638" s="22">
        <f t="shared" si="240"/>
        <v>27785.95</v>
      </c>
      <c r="H638" s="22">
        <f t="shared" si="240"/>
        <v>27315.75</v>
      </c>
      <c r="I638" s="22">
        <f t="shared" si="240"/>
        <v>27666.6</v>
      </c>
      <c r="J638" s="22">
        <f t="shared" si="240"/>
        <v>27200.25</v>
      </c>
      <c r="K638" s="22">
        <f t="shared" si="240"/>
        <v>47396.152500000004</v>
      </c>
      <c r="L638" s="22">
        <f t="shared" si="240"/>
        <v>47396.152500000004</v>
      </c>
      <c r="M638" s="22">
        <f t="shared" si="240"/>
        <v>47396.152500000004</v>
      </c>
      <c r="N638" s="22">
        <f t="shared" si="240"/>
        <v>0</v>
      </c>
      <c r="O638" s="119">
        <f t="shared" si="240"/>
        <v>47396.152500000004</v>
      </c>
      <c r="P638" s="22">
        <f t="shared" ref="P638" si="241">SUM(P635:P637)</f>
        <v>0</v>
      </c>
      <c r="Q638" s="22">
        <f t="shared" si="240"/>
        <v>0</v>
      </c>
      <c r="R638" s="22">
        <f t="shared" si="240"/>
        <v>327648.78000000003</v>
      </c>
      <c r="T638" s="39">
        <f>SUM(T635:T637)</f>
        <v>138064.17000000001</v>
      </c>
      <c r="U638" s="78">
        <f>SUM(U635:U637)</f>
        <v>189584.61000000002</v>
      </c>
      <c r="V638" s="11">
        <f>SUM(T638:U638)-R638</f>
        <v>0</v>
      </c>
    </row>
    <row r="639" spans="1:22" x14ac:dyDescent="0.3">
      <c r="E639" s="15"/>
      <c r="O639" s="118"/>
    </row>
    <row r="640" spans="1:22" ht="15.5" x14ac:dyDescent="0.35">
      <c r="B640">
        <v>12</v>
      </c>
      <c r="C640" s="20">
        <f>+C634+1</f>
        <v>73</v>
      </c>
      <c r="D640" s="1" t="s">
        <v>14</v>
      </c>
      <c r="E640" s="25" t="s">
        <v>310</v>
      </c>
      <c r="O640" s="118"/>
    </row>
    <row r="641" spans="1:22" x14ac:dyDescent="0.3">
      <c r="B641">
        <v>12.1</v>
      </c>
      <c r="E641" s="8" t="s">
        <v>8</v>
      </c>
      <c r="F641" s="3">
        <v>1450.83</v>
      </c>
      <c r="G641" s="3">
        <v>1450.83</v>
      </c>
      <c r="H641" s="3">
        <v>1450.83</v>
      </c>
      <c r="I641" s="3">
        <v>1450.83</v>
      </c>
      <c r="J641" s="3">
        <v>1450.83</v>
      </c>
      <c r="K641" s="3">
        <v>1450.83</v>
      </c>
      <c r="L641" s="3">
        <v>1450.83</v>
      </c>
      <c r="M641" s="3">
        <v>1420</v>
      </c>
      <c r="N641" s="3">
        <v>1420</v>
      </c>
      <c r="O641" s="118">
        <v>1420</v>
      </c>
      <c r="P641" s="3">
        <v>1420</v>
      </c>
      <c r="Q641" s="3">
        <v>1420</v>
      </c>
      <c r="R641" s="3">
        <f>SUM(F641:Q641)</f>
        <v>17255.809999999998</v>
      </c>
      <c r="T641" s="3">
        <f>SUM(F641:J641)</f>
        <v>7254.15</v>
      </c>
      <c r="U641" s="93">
        <f>SUM(K641:Q641)</f>
        <v>10001.66</v>
      </c>
      <c r="V641" s="11">
        <f>SUM(T641:U641)-R641</f>
        <v>0</v>
      </c>
    </row>
    <row r="642" spans="1:22" x14ac:dyDescent="0.3">
      <c r="B642">
        <v>12.2</v>
      </c>
      <c r="E642" s="8" t="s">
        <v>9</v>
      </c>
      <c r="F642" s="3">
        <v>250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118">
        <v>0</v>
      </c>
      <c r="P642" s="3">
        <v>0</v>
      </c>
      <c r="Q642" s="3">
        <v>0</v>
      </c>
      <c r="R642" s="3">
        <f>SUM(F642:Q642)</f>
        <v>250</v>
      </c>
      <c r="T642" s="3">
        <f t="shared" ref="T642:T643" si="242">SUM(F642:J642)</f>
        <v>250</v>
      </c>
      <c r="U642" s="93">
        <f>SUM(K642:Q642)</f>
        <v>0</v>
      </c>
      <c r="V642" s="11">
        <f>SUM(T642:U642)-R642</f>
        <v>0</v>
      </c>
    </row>
    <row r="643" spans="1:22" ht="13.5" thickBot="1" x14ac:dyDescent="0.35">
      <c r="A643" t="s">
        <v>311</v>
      </c>
      <c r="B643">
        <v>12.3</v>
      </c>
      <c r="E643" s="8" t="s">
        <v>10</v>
      </c>
      <c r="F643" s="3">
        <f>30833.33+58033.33</f>
        <v>88866.66</v>
      </c>
      <c r="G643" s="3">
        <f t="shared" ref="G643:I643" si="243">30833.33+58033.33</f>
        <v>88866.66</v>
      </c>
      <c r="H643" s="3">
        <f t="shared" si="243"/>
        <v>88866.66</v>
      </c>
      <c r="I643" s="3">
        <f t="shared" si="243"/>
        <v>88866.66</v>
      </c>
      <c r="J643" s="3">
        <f>30833.37+58033.35</f>
        <v>88866.72</v>
      </c>
      <c r="K643" s="3">
        <f>32083.33+56800</f>
        <v>88883.33</v>
      </c>
      <c r="L643" s="3">
        <f t="shared" ref="L643:Q643" si="244">32083.33+56800</f>
        <v>88883.33</v>
      </c>
      <c r="M643" s="3">
        <f t="shared" si="244"/>
        <v>88883.33</v>
      </c>
      <c r="N643" s="3">
        <f t="shared" si="244"/>
        <v>88883.33</v>
      </c>
      <c r="O643" s="118">
        <f t="shared" si="244"/>
        <v>88883.33</v>
      </c>
      <c r="P643" s="3">
        <f t="shared" si="244"/>
        <v>88883.33</v>
      </c>
      <c r="Q643" s="3">
        <f t="shared" si="244"/>
        <v>88883.33</v>
      </c>
      <c r="R643" s="3">
        <f>SUM(F643:Q643)</f>
        <v>1066516.6699999997</v>
      </c>
      <c r="T643" s="3">
        <f t="shared" si="242"/>
        <v>444333.36</v>
      </c>
      <c r="U643" s="94">
        <f>SUM(K643:Q643)</f>
        <v>622183.30999999994</v>
      </c>
      <c r="V643" s="11">
        <f>SUM(T643:U643)-R643</f>
        <v>0</v>
      </c>
    </row>
    <row r="644" spans="1:22" ht="13.5" thickBot="1" x14ac:dyDescent="0.35">
      <c r="E644" s="13" t="s">
        <v>43</v>
      </c>
      <c r="F644" s="22">
        <f t="shared" ref="F644:R644" si="245">SUM(F641:F643)</f>
        <v>90567.49</v>
      </c>
      <c r="G644" s="22">
        <f t="shared" si="245"/>
        <v>90317.49</v>
      </c>
      <c r="H644" s="22">
        <f t="shared" si="245"/>
        <v>90317.49</v>
      </c>
      <c r="I644" s="22">
        <f t="shared" si="245"/>
        <v>90317.49</v>
      </c>
      <c r="J644" s="22">
        <f t="shared" si="245"/>
        <v>90317.55</v>
      </c>
      <c r="K644" s="22">
        <f t="shared" si="245"/>
        <v>90334.16</v>
      </c>
      <c r="L644" s="22">
        <f t="shared" si="245"/>
        <v>90334.16</v>
      </c>
      <c r="M644" s="22">
        <f t="shared" si="245"/>
        <v>90303.33</v>
      </c>
      <c r="N644" s="22">
        <f t="shared" si="245"/>
        <v>90303.33</v>
      </c>
      <c r="O644" s="119">
        <f t="shared" si="245"/>
        <v>90303.33</v>
      </c>
      <c r="P644" s="22">
        <f t="shared" si="245"/>
        <v>90303.33</v>
      </c>
      <c r="Q644" s="22">
        <f t="shared" si="245"/>
        <v>90303.33</v>
      </c>
      <c r="R644" s="22">
        <f t="shared" si="245"/>
        <v>1084022.4799999997</v>
      </c>
      <c r="T644" s="39">
        <f>SUM(T641:T643)</f>
        <v>451837.51</v>
      </c>
      <c r="U644" s="78">
        <f>SUM(U641:U643)</f>
        <v>632184.97</v>
      </c>
      <c r="V644" s="11">
        <f>SUM(T644:U644)-R644</f>
        <v>0</v>
      </c>
    </row>
    <row r="645" spans="1:22" x14ac:dyDescent="0.3">
      <c r="E645" s="15"/>
      <c r="O645" s="118"/>
    </row>
    <row r="646" spans="1:22" ht="15.5" x14ac:dyDescent="0.35">
      <c r="B646">
        <v>9</v>
      </c>
      <c r="C646" s="20">
        <f>+C640+1</f>
        <v>74</v>
      </c>
      <c r="D646" s="1" t="s">
        <v>14</v>
      </c>
      <c r="E646" s="25" t="s">
        <v>312</v>
      </c>
      <c r="O646" s="118"/>
    </row>
    <row r="647" spans="1:22" x14ac:dyDescent="0.3">
      <c r="B647">
        <v>9.1</v>
      </c>
      <c r="E647" s="8" t="s">
        <v>8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f>IF($B$646=12,'payment summary to Trustee'!$AW647,('payment summary to Trustee'!$BD647-'CDE Intercept  '!$T647)/4)</f>
        <v>0</v>
      </c>
      <c r="L647" s="3">
        <f>IF($B$646=12,'payment summary to Trustee'!$AW647,('payment summary to Trustee'!$BD647-'CDE Intercept  '!$T647)/4)</f>
        <v>0</v>
      </c>
      <c r="M647" s="3">
        <f>IF($B$646=12,'payment summary to Trustee'!$AW647,('payment summary to Trustee'!$BD647-'CDE Intercept  '!$T647)/4)</f>
        <v>0</v>
      </c>
      <c r="N647" s="3">
        <v>0</v>
      </c>
      <c r="O647" s="118">
        <f>IF($B$646=12,'payment summary to Trustee'!$AW647,('payment summary to Trustee'!$BD647-'CDE Intercept  '!$T647)/4)</f>
        <v>0</v>
      </c>
      <c r="P647" s="3">
        <v>0</v>
      </c>
      <c r="Q647" s="3">
        <v>0</v>
      </c>
      <c r="R647" s="3">
        <f>SUM(F647:Q647)</f>
        <v>0</v>
      </c>
      <c r="T647" s="3">
        <f>SUM(F647:J647)</f>
        <v>0</v>
      </c>
      <c r="U647" s="93">
        <f>SUM(K647:Q647)</f>
        <v>0</v>
      </c>
      <c r="V647" s="11">
        <f>SUM(T647:U647)-R647</f>
        <v>0</v>
      </c>
    </row>
    <row r="648" spans="1:22" x14ac:dyDescent="0.3">
      <c r="B648">
        <v>9.1999999999999993</v>
      </c>
      <c r="E648" s="8" t="s">
        <v>9</v>
      </c>
      <c r="F648" s="3">
        <v>250</v>
      </c>
      <c r="G648" s="3">
        <v>0</v>
      </c>
      <c r="H648" s="3">
        <v>0</v>
      </c>
      <c r="I648" s="3">
        <v>0</v>
      </c>
      <c r="J648" s="3">
        <v>0</v>
      </c>
      <c r="K648" s="3">
        <f>IF($B$646=12,'payment summary to Trustee'!$AW648,('payment summary to Trustee'!$BD648-'CDE Intercept  '!$T648)/4)</f>
        <v>0</v>
      </c>
      <c r="L648" s="3">
        <f>IF($B$646=12,'payment summary to Trustee'!$AW648,('payment summary to Trustee'!$BD648-'CDE Intercept  '!$T648)/4)</f>
        <v>0</v>
      </c>
      <c r="M648" s="3">
        <f>IF($B$646=12,'payment summary to Trustee'!$AW648,('payment summary to Trustee'!$BD648-'CDE Intercept  '!$T648)/4)</f>
        <v>0</v>
      </c>
      <c r="N648" s="3">
        <v>0</v>
      </c>
      <c r="O648" s="118">
        <f>IF($B$646=12,'payment summary to Trustee'!$AW648,('payment summary to Trustee'!$BD648-'CDE Intercept  '!$T648)/4)</f>
        <v>0</v>
      </c>
      <c r="P648" s="3">
        <v>0</v>
      </c>
      <c r="Q648" s="3">
        <v>0</v>
      </c>
      <c r="R648" s="3">
        <f>SUM(F648:Q648)</f>
        <v>250</v>
      </c>
      <c r="T648" s="3">
        <f t="shared" ref="T648:T649" si="246">SUM(F648:J648)</f>
        <v>250</v>
      </c>
      <c r="U648" s="93">
        <f>SUM(K648:Q648)</f>
        <v>0</v>
      </c>
      <c r="V648" s="11">
        <f>SUM(T648:U648)-R648</f>
        <v>0</v>
      </c>
    </row>
    <row r="649" spans="1:22" ht="13.5" thickBot="1" x14ac:dyDescent="0.35">
      <c r="A649" t="s">
        <v>313</v>
      </c>
      <c r="B649">
        <v>9.3000000000000007</v>
      </c>
      <c r="E649" s="8" t="s">
        <v>10</v>
      </c>
      <c r="F649" s="3">
        <f>33015.34+22883.91</f>
        <v>55899.25</v>
      </c>
      <c r="G649" s="3">
        <f>33082.15+22817.1</f>
        <v>55899.25</v>
      </c>
      <c r="H649" s="3">
        <f>33882.97+22016.28</f>
        <v>55899.25</v>
      </c>
      <c r="I649" s="3">
        <f>33217.66+22681.59</f>
        <v>55899.25</v>
      </c>
      <c r="J649" s="3">
        <f>34014.37+21884.88</f>
        <v>55899.25</v>
      </c>
      <c r="K649" s="3">
        <f>IF($B$646=12,'payment summary to Trustee'!$AW649,('payment summary to Trustee'!$BD649-'CDE Intercept  '!$T649)/4)</f>
        <v>97823.692500000005</v>
      </c>
      <c r="L649" s="3">
        <f>IF($B$646=12,'payment summary to Trustee'!$AW649,('payment summary to Trustee'!$BD649-'CDE Intercept  '!$T649)/4)</f>
        <v>97823.692500000005</v>
      </c>
      <c r="M649" s="3">
        <f>IF($B$646=12,'payment summary to Trustee'!$AW649,('payment summary to Trustee'!$BD649-'CDE Intercept  '!$T649)/4)</f>
        <v>97823.692500000005</v>
      </c>
      <c r="N649" s="3">
        <v>0</v>
      </c>
      <c r="O649" s="118">
        <f>IF($B$646=12,'payment summary to Trustee'!$AW649,('payment summary to Trustee'!$BD649-'CDE Intercept  '!$T649)/4)</f>
        <v>97823.692500000005</v>
      </c>
      <c r="P649" s="3">
        <v>0</v>
      </c>
      <c r="Q649" s="3">
        <v>0</v>
      </c>
      <c r="R649" s="3">
        <f>SUM(F649:Q649)</f>
        <v>670791.02</v>
      </c>
      <c r="T649" s="3">
        <f t="shared" si="246"/>
        <v>279496.25</v>
      </c>
      <c r="U649" s="94">
        <f>SUM(K649:Q649)</f>
        <v>391294.77</v>
      </c>
      <c r="V649" s="11">
        <f>SUM(T649:U649)-R649</f>
        <v>0</v>
      </c>
    </row>
    <row r="650" spans="1:22" ht="13.5" thickBot="1" x14ac:dyDescent="0.35">
      <c r="E650" s="13" t="s">
        <v>314</v>
      </c>
      <c r="F650" s="22">
        <f t="shared" ref="F650:R650" si="247">SUM(F647:F649)</f>
        <v>56149.25</v>
      </c>
      <c r="G650" s="22">
        <f t="shared" si="247"/>
        <v>55899.25</v>
      </c>
      <c r="H650" s="22">
        <f t="shared" si="247"/>
        <v>55899.25</v>
      </c>
      <c r="I650" s="22">
        <f t="shared" si="247"/>
        <v>55899.25</v>
      </c>
      <c r="J650" s="22">
        <f t="shared" si="247"/>
        <v>55899.25</v>
      </c>
      <c r="K650" s="22">
        <f t="shared" si="247"/>
        <v>97823.692500000005</v>
      </c>
      <c r="L650" s="22">
        <f t="shared" si="247"/>
        <v>97823.692500000005</v>
      </c>
      <c r="M650" s="22">
        <f t="shared" si="247"/>
        <v>97823.692500000005</v>
      </c>
      <c r="N650" s="22">
        <f t="shared" si="247"/>
        <v>0</v>
      </c>
      <c r="O650" s="119">
        <f t="shared" si="247"/>
        <v>97823.692500000005</v>
      </c>
      <c r="P650" s="22">
        <f t="shared" ref="P650" si="248">SUM(P647:P649)</f>
        <v>0</v>
      </c>
      <c r="Q650" s="22">
        <f t="shared" si="247"/>
        <v>0</v>
      </c>
      <c r="R650" s="22">
        <f t="shared" si="247"/>
        <v>671041.02</v>
      </c>
      <c r="T650" s="39">
        <f>SUM(T647:T649)</f>
        <v>279746.25</v>
      </c>
      <c r="U650" s="78">
        <f>SUM(U647:U649)</f>
        <v>391294.77</v>
      </c>
      <c r="V650" s="11">
        <f>SUM(T650:U650)-R650</f>
        <v>0</v>
      </c>
    </row>
    <row r="651" spans="1:22" x14ac:dyDescent="0.3">
      <c r="E651" s="15"/>
      <c r="O651" s="118"/>
    </row>
    <row r="652" spans="1:22" ht="15.5" x14ac:dyDescent="0.35">
      <c r="B652">
        <v>9</v>
      </c>
      <c r="C652" s="20">
        <f>+C646+1</f>
        <v>75</v>
      </c>
      <c r="D652" s="1" t="s">
        <v>14</v>
      </c>
      <c r="E652" s="25" t="s">
        <v>315</v>
      </c>
      <c r="O652" s="118"/>
    </row>
    <row r="653" spans="1:22" x14ac:dyDescent="0.3">
      <c r="B653">
        <v>9.1</v>
      </c>
      <c r="E653" s="8" t="s">
        <v>8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f>IF($B$652=12,'payment summary to Trustee'!$AW653,('payment summary to Trustee'!$BD653-'CDE Intercept  '!$T653)/4)</f>
        <v>0</v>
      </c>
      <c r="L653" s="3">
        <f>IF($B$652=12,'payment summary to Trustee'!$AW653,('payment summary to Trustee'!$BD653-'CDE Intercept  '!$T653)/4)</f>
        <v>0</v>
      </c>
      <c r="M653" s="3">
        <f>IF($B$652=12,'payment summary to Trustee'!$AW653,('payment summary to Trustee'!$BD653-'CDE Intercept  '!$T653)/4)</f>
        <v>0</v>
      </c>
      <c r="N653" s="3">
        <v>0</v>
      </c>
      <c r="O653" s="118">
        <f>IF($B$652=12,'payment summary to Trustee'!$AW653,('payment summary to Trustee'!$BD653-'CDE Intercept  '!$T653)/4)</f>
        <v>0</v>
      </c>
      <c r="P653" s="3">
        <v>0</v>
      </c>
      <c r="Q653" s="3">
        <v>0</v>
      </c>
      <c r="R653" s="3">
        <f>SUM(F653:Q653)</f>
        <v>0</v>
      </c>
      <c r="T653" s="3">
        <f>SUM(F653:J653)</f>
        <v>0</v>
      </c>
      <c r="U653" s="93">
        <f>SUM(K653:Q653)</f>
        <v>0</v>
      </c>
      <c r="V653" s="11">
        <f>SUM(T653:U653)-R653</f>
        <v>0</v>
      </c>
    </row>
    <row r="654" spans="1:22" x14ac:dyDescent="0.3">
      <c r="B654">
        <v>9.1999999999999993</v>
      </c>
      <c r="E654" s="8" t="s">
        <v>9</v>
      </c>
      <c r="F654" s="3">
        <v>250</v>
      </c>
      <c r="G654" s="3">
        <v>0</v>
      </c>
      <c r="H654" s="3">
        <v>0</v>
      </c>
      <c r="I654" s="3">
        <v>0</v>
      </c>
      <c r="J654" s="3">
        <v>0</v>
      </c>
      <c r="K654" s="3">
        <f>IF($B$652=12,'payment summary to Trustee'!$AW654,('payment summary to Trustee'!$BD654-'CDE Intercept  '!$T654)/4)</f>
        <v>0</v>
      </c>
      <c r="L654" s="3">
        <f>IF($B$652=12,'payment summary to Trustee'!$AW654,('payment summary to Trustee'!$BD654-'CDE Intercept  '!$T654)/4)</f>
        <v>0</v>
      </c>
      <c r="M654" s="3">
        <f>IF($B$652=12,'payment summary to Trustee'!$AW654,('payment summary to Trustee'!$BD654-'CDE Intercept  '!$T654)/4)</f>
        <v>0</v>
      </c>
      <c r="N654" s="3">
        <v>0</v>
      </c>
      <c r="O654" s="118">
        <f>IF($B$652=12,'payment summary to Trustee'!$AW654,('payment summary to Trustee'!$BD654-'CDE Intercept  '!$T654)/4)</f>
        <v>0</v>
      </c>
      <c r="P654" s="3">
        <v>0</v>
      </c>
      <c r="Q654" s="3">
        <v>0</v>
      </c>
      <c r="R654" s="3">
        <f>SUM(F654:Q654)</f>
        <v>250</v>
      </c>
      <c r="T654" s="3">
        <f t="shared" ref="T654:T655" si="249">SUM(F654:J654)</f>
        <v>250</v>
      </c>
      <c r="U654" s="93">
        <f>SUM(K654:Q654)</f>
        <v>0</v>
      </c>
      <c r="V654" s="11">
        <f>SUM(T654:U654)-R654</f>
        <v>0</v>
      </c>
    </row>
    <row r="655" spans="1:22" ht="13.5" thickBot="1" x14ac:dyDescent="0.35">
      <c r="A655" t="s">
        <v>316</v>
      </c>
      <c r="B655">
        <v>9.3000000000000007</v>
      </c>
      <c r="E655" s="8" t="s">
        <v>10</v>
      </c>
      <c r="F655" s="3">
        <f>13715.93+21539.78</f>
        <v>35255.71</v>
      </c>
      <c r="G655" s="3">
        <f>13662.8+21592.91</f>
        <v>35255.71</v>
      </c>
      <c r="H655" s="3">
        <f>13609.53+21646.18</f>
        <v>35255.71</v>
      </c>
      <c r="I655" s="3">
        <f>13556.14+21699.57</f>
        <v>35255.71</v>
      </c>
      <c r="J655" s="3">
        <f>13502.61+21753.1</f>
        <v>35255.71</v>
      </c>
      <c r="K655" s="3">
        <f>IF($B$652=12,'payment summary to Trustee'!$AW655,('payment summary to Trustee'!$BD655-'CDE Intercept  '!$T655)/4)</f>
        <v>61697.492500000022</v>
      </c>
      <c r="L655" s="3">
        <f>IF($B$652=12,'payment summary to Trustee'!$AW655,('payment summary to Trustee'!$BD655-'CDE Intercept  '!$T655)/4)</f>
        <v>61697.492500000022</v>
      </c>
      <c r="M655" s="3">
        <f>IF($B$652=12,'payment summary to Trustee'!$AW655,('payment summary to Trustee'!$BD655-'CDE Intercept  '!$T655)/4)</f>
        <v>61697.492500000022</v>
      </c>
      <c r="N655" s="3">
        <v>0</v>
      </c>
      <c r="O655" s="118">
        <f>IF($B$652=12,'payment summary to Trustee'!$AW655,('payment summary to Trustee'!$BD655-'CDE Intercept  '!$T655)/4)</f>
        <v>61697.492500000022</v>
      </c>
      <c r="P655" s="3">
        <v>0</v>
      </c>
      <c r="Q655" s="3">
        <v>0</v>
      </c>
      <c r="R655" s="3">
        <f>SUM(F655:Q655)</f>
        <v>423068.52000000014</v>
      </c>
      <c r="T655" s="3">
        <f t="shared" si="249"/>
        <v>176278.55</v>
      </c>
      <c r="U655" s="94">
        <f>SUM(K655:Q655)</f>
        <v>246789.97000000009</v>
      </c>
      <c r="V655" s="11">
        <f>SUM(T655:U655)-R655</f>
        <v>0</v>
      </c>
    </row>
    <row r="656" spans="1:22" ht="13.5" thickBot="1" x14ac:dyDescent="0.35">
      <c r="E656" s="13" t="s">
        <v>317</v>
      </c>
      <c r="F656" s="22">
        <f t="shared" ref="F656:R656" si="250">SUM(F653:F655)</f>
        <v>35505.71</v>
      </c>
      <c r="G656" s="22">
        <f t="shared" si="250"/>
        <v>35255.71</v>
      </c>
      <c r="H656" s="22">
        <f t="shared" si="250"/>
        <v>35255.71</v>
      </c>
      <c r="I656" s="22">
        <f t="shared" si="250"/>
        <v>35255.71</v>
      </c>
      <c r="J656" s="22">
        <f t="shared" si="250"/>
        <v>35255.71</v>
      </c>
      <c r="K656" s="22">
        <f t="shared" si="250"/>
        <v>61697.492500000022</v>
      </c>
      <c r="L656" s="22">
        <f t="shared" si="250"/>
        <v>61697.492500000022</v>
      </c>
      <c r="M656" s="22">
        <f t="shared" si="250"/>
        <v>61697.492500000022</v>
      </c>
      <c r="N656" s="22">
        <f t="shared" si="250"/>
        <v>0</v>
      </c>
      <c r="O656" s="119">
        <f t="shared" si="250"/>
        <v>61697.492500000022</v>
      </c>
      <c r="P656" s="22">
        <f t="shared" ref="P656" si="251">SUM(P653:P655)</f>
        <v>0</v>
      </c>
      <c r="Q656" s="22">
        <f t="shared" si="250"/>
        <v>0</v>
      </c>
      <c r="R656" s="22">
        <f t="shared" si="250"/>
        <v>423318.52000000014</v>
      </c>
      <c r="T656" s="39">
        <f>SUM(T653:T655)</f>
        <v>176528.55</v>
      </c>
      <c r="U656" s="78">
        <f>SUM(U653:U655)</f>
        <v>246789.97000000009</v>
      </c>
      <c r="V656" s="11">
        <f>SUM(T656:U656)-R656</f>
        <v>0</v>
      </c>
    </row>
    <row r="657" spans="1:22" x14ac:dyDescent="0.3">
      <c r="E657" s="15"/>
      <c r="O657" s="118"/>
    </row>
    <row r="658" spans="1:22" ht="15.5" x14ac:dyDescent="0.35">
      <c r="B658">
        <v>9</v>
      </c>
      <c r="C658" s="20">
        <f>+C652+1</f>
        <v>76</v>
      </c>
      <c r="D658" s="1" t="s">
        <v>14</v>
      </c>
      <c r="E658" s="25" t="s">
        <v>318</v>
      </c>
      <c r="O658" s="118"/>
    </row>
    <row r="659" spans="1:22" x14ac:dyDescent="0.3">
      <c r="B659">
        <v>9.1</v>
      </c>
      <c r="E659" s="8" t="s">
        <v>8</v>
      </c>
      <c r="F659" s="3">
        <v>697.92</v>
      </c>
      <c r="G659" s="3">
        <v>697.92</v>
      </c>
      <c r="H659" s="3">
        <v>697.92</v>
      </c>
      <c r="I659" s="3">
        <v>697.92</v>
      </c>
      <c r="J659" s="3">
        <v>697.92</v>
      </c>
      <c r="K659" s="3">
        <f>IF($B$658=12,'payment summary to Trustee'!$AW659,('payment summary to Trustee'!$BD659-'CDE Intercept  '!$T659)/4)</f>
        <v>1211.9849999999997</v>
      </c>
      <c r="L659" s="3">
        <f>IF($B$658=12,'payment summary to Trustee'!$AW659,('payment summary to Trustee'!$BD659-'CDE Intercept  '!$T659)/4)</f>
        <v>1211.9849999999997</v>
      </c>
      <c r="M659" s="3">
        <f>IF($B$658=12,'payment summary to Trustee'!$AW659,('payment summary to Trustee'!$BD659-'CDE Intercept  '!$T659)/4)</f>
        <v>1211.9849999999997</v>
      </c>
      <c r="N659" s="3">
        <v>0</v>
      </c>
      <c r="O659" s="118">
        <f>IF($B$658=12,'payment summary to Trustee'!$AW659,('payment summary to Trustee'!$BD659-'CDE Intercept  '!$T659)/4)</f>
        <v>1211.9849999999997</v>
      </c>
      <c r="P659" s="3">
        <v>0</v>
      </c>
      <c r="Q659" s="3">
        <v>0</v>
      </c>
      <c r="R659" s="3">
        <f>SUM(F659:Q659)</f>
        <v>8337.5399999999972</v>
      </c>
      <c r="T659" s="3">
        <f>SUM(F659:J659)</f>
        <v>3489.6</v>
      </c>
      <c r="U659" s="93">
        <f>SUM(K659:Q659)</f>
        <v>4847.9399999999987</v>
      </c>
      <c r="V659" s="11">
        <f>SUM(T659:U659)-R659</f>
        <v>0</v>
      </c>
    </row>
    <row r="660" spans="1:22" x14ac:dyDescent="0.3">
      <c r="B660">
        <v>9.1999999999999993</v>
      </c>
      <c r="E660" s="8" t="s">
        <v>9</v>
      </c>
      <c r="F660" s="3">
        <v>250</v>
      </c>
      <c r="G660" s="3">
        <v>0</v>
      </c>
      <c r="H660" s="3">
        <v>0</v>
      </c>
      <c r="I660" s="3">
        <v>0</v>
      </c>
      <c r="J660" s="3">
        <v>0</v>
      </c>
      <c r="K660" s="3">
        <f>IF($B$658=12,'payment summary to Trustee'!$AW660,('payment summary to Trustee'!$BD660-'CDE Intercept  '!$T660)/4)</f>
        <v>0</v>
      </c>
      <c r="L660" s="3">
        <f>IF($B$658=12,'payment summary to Trustee'!$AW660,('payment summary to Trustee'!$BD660-'CDE Intercept  '!$T660)/4)</f>
        <v>0</v>
      </c>
      <c r="M660" s="3">
        <f>IF($B$658=12,'payment summary to Trustee'!$AW660,('payment summary to Trustee'!$BD660-'CDE Intercept  '!$T660)/4)</f>
        <v>0</v>
      </c>
      <c r="N660" s="3">
        <v>0</v>
      </c>
      <c r="O660" s="118">
        <f>IF($B$658=12,'payment summary to Trustee'!$AW660,('payment summary to Trustee'!$BD660-'CDE Intercept  '!$T660)/4)</f>
        <v>0</v>
      </c>
      <c r="P660" s="3">
        <v>0</v>
      </c>
      <c r="Q660" s="3">
        <v>0</v>
      </c>
      <c r="R660" s="3">
        <f>SUM(F660:Q660)</f>
        <v>250</v>
      </c>
      <c r="T660" s="3">
        <f t="shared" ref="T660:T661" si="252">SUM(F660:J660)</f>
        <v>250</v>
      </c>
      <c r="U660" s="93">
        <f>SUM(K660:Q660)</f>
        <v>0</v>
      </c>
      <c r="V660" s="11">
        <f>SUM(T660:U660)-R660</f>
        <v>0</v>
      </c>
    </row>
    <row r="661" spans="1:22" ht="13.5" thickBot="1" x14ac:dyDescent="0.35">
      <c r="A661" t="s">
        <v>319</v>
      </c>
      <c r="B661">
        <v>9.3000000000000007</v>
      </c>
      <c r="E661" s="8" t="s">
        <v>10</v>
      </c>
      <c r="F661" s="3">
        <f>12500+26008.34</f>
        <v>38508.339999999997</v>
      </c>
      <c r="G661" s="3">
        <f>12500+26008.35</f>
        <v>38508.35</v>
      </c>
      <c r="H661" s="3">
        <f>12500+26008.34</f>
        <v>38508.339999999997</v>
      </c>
      <c r="I661" s="3">
        <f t="shared" ref="I661:J661" si="253">12500+26008.34</f>
        <v>38508.339999999997</v>
      </c>
      <c r="J661" s="3">
        <f t="shared" si="253"/>
        <v>38508.339999999997</v>
      </c>
      <c r="K661" s="3">
        <f>IF($B$658=12,'payment summary to Trustee'!$AW661,('payment summary to Trustee'!$BD661-'CDE Intercept  '!$T661)/4)</f>
        <v>67090.177499999991</v>
      </c>
      <c r="L661" s="3">
        <f>IF($B$658=12,'payment summary to Trustee'!$AW661,('payment summary to Trustee'!$BD661-'CDE Intercept  '!$T661)/4)</f>
        <v>67090.177499999991</v>
      </c>
      <c r="M661" s="3">
        <f>IF($B$658=12,'payment summary to Trustee'!$AW661,('payment summary to Trustee'!$BD661-'CDE Intercept  '!$T661)/4)</f>
        <v>67090.177499999991</v>
      </c>
      <c r="N661" s="3">
        <v>0</v>
      </c>
      <c r="O661" s="118">
        <f>IF($B$658=12,'payment summary to Trustee'!$AW661,('payment summary to Trustee'!$BD661-'CDE Intercept  '!$T661)/4)</f>
        <v>67090.177499999991</v>
      </c>
      <c r="P661" s="3">
        <v>0</v>
      </c>
      <c r="Q661" s="3">
        <v>0</v>
      </c>
      <c r="R661" s="3">
        <f>SUM(F661:Q661)</f>
        <v>460902.41999999993</v>
      </c>
      <c r="T661" s="3">
        <f t="shared" si="252"/>
        <v>192541.71</v>
      </c>
      <c r="U661" s="94">
        <f>SUM(K661:Q661)</f>
        <v>268360.70999999996</v>
      </c>
      <c r="V661" s="11">
        <f>SUM(T661:U661)-R661</f>
        <v>0</v>
      </c>
    </row>
    <row r="662" spans="1:22" ht="13.5" thickBot="1" x14ac:dyDescent="0.35">
      <c r="E662" s="13" t="s">
        <v>320</v>
      </c>
      <c r="F662" s="22">
        <f t="shared" ref="F662:R662" si="254">SUM(F659:F661)</f>
        <v>39456.259999999995</v>
      </c>
      <c r="G662" s="22">
        <f t="shared" si="254"/>
        <v>39206.269999999997</v>
      </c>
      <c r="H662" s="22">
        <f t="shared" si="254"/>
        <v>39206.259999999995</v>
      </c>
      <c r="I662" s="22">
        <f t="shared" si="254"/>
        <v>39206.259999999995</v>
      </c>
      <c r="J662" s="22">
        <f t="shared" si="254"/>
        <v>39206.259999999995</v>
      </c>
      <c r="K662" s="22">
        <f t="shared" si="254"/>
        <v>68302.162499999991</v>
      </c>
      <c r="L662" s="22">
        <f t="shared" si="254"/>
        <v>68302.162499999991</v>
      </c>
      <c r="M662" s="22">
        <f t="shared" si="254"/>
        <v>68302.162499999991</v>
      </c>
      <c r="N662" s="22">
        <f t="shared" si="254"/>
        <v>0</v>
      </c>
      <c r="O662" s="119">
        <f t="shared" si="254"/>
        <v>68302.162499999991</v>
      </c>
      <c r="P662" s="22">
        <f t="shared" ref="P662" si="255">SUM(P659:P661)</f>
        <v>0</v>
      </c>
      <c r="Q662" s="22">
        <f t="shared" si="254"/>
        <v>0</v>
      </c>
      <c r="R662" s="22">
        <f t="shared" si="254"/>
        <v>469489.9599999999</v>
      </c>
      <c r="T662" s="39">
        <f>SUM(T659:T661)</f>
        <v>196281.31</v>
      </c>
      <c r="U662" s="78">
        <f>SUM(U659:U661)</f>
        <v>273208.64999999997</v>
      </c>
      <c r="V662" s="11">
        <f>SUM(T662:U662)-R662</f>
        <v>0</v>
      </c>
    </row>
    <row r="663" spans="1:22" x14ac:dyDescent="0.3">
      <c r="E663" s="15"/>
      <c r="O663" s="118"/>
    </row>
    <row r="664" spans="1:22" ht="15.5" x14ac:dyDescent="0.35">
      <c r="B664">
        <v>9</v>
      </c>
      <c r="C664" s="20">
        <f>+C658+1</f>
        <v>77</v>
      </c>
      <c r="D664" s="1" t="s">
        <v>14</v>
      </c>
      <c r="E664" s="25" t="s">
        <v>321</v>
      </c>
      <c r="O664" s="118"/>
    </row>
    <row r="665" spans="1:22" x14ac:dyDescent="0.3">
      <c r="B665">
        <v>9.1</v>
      </c>
      <c r="E665" s="8" t="s">
        <v>8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f>IF($B$664=12,'payment summary to Trustee'!$AW665,('payment summary to Trustee'!$BD665-'CDE Intercept  '!$T665)/4)</f>
        <v>0</v>
      </c>
      <c r="L665" s="3">
        <f>IF($B$664=12,'payment summary to Trustee'!$AW665,('payment summary to Trustee'!$BD665-'CDE Intercept  '!$T665)/4)</f>
        <v>0</v>
      </c>
      <c r="M665" s="3">
        <f>IF($B$664=12,'payment summary to Trustee'!$AW665,('payment summary to Trustee'!$BD665-'CDE Intercept  '!$T665)/4)</f>
        <v>0</v>
      </c>
      <c r="N665" s="3">
        <v>0</v>
      </c>
      <c r="O665" s="118">
        <f>IF($B$664=12,'payment summary to Trustee'!$AW665,('payment summary to Trustee'!$BD665-'CDE Intercept  '!$T665)/4)</f>
        <v>0</v>
      </c>
      <c r="P665" s="3">
        <v>0</v>
      </c>
      <c r="Q665" s="3">
        <v>0</v>
      </c>
      <c r="R665" s="3">
        <f>SUM(F665:Q665)</f>
        <v>0</v>
      </c>
      <c r="T665" s="3">
        <f>SUM(F665:J665)</f>
        <v>0</v>
      </c>
      <c r="U665" s="93">
        <f>SUM(K665:Q665)</f>
        <v>0</v>
      </c>
      <c r="V665" s="11">
        <f>SUM(T665:U665)-R665</f>
        <v>0</v>
      </c>
    </row>
    <row r="666" spans="1:22" x14ac:dyDescent="0.3">
      <c r="B666">
        <v>9.1999999999999993</v>
      </c>
      <c r="E666" s="8" t="s">
        <v>9</v>
      </c>
      <c r="F666" s="3">
        <v>250</v>
      </c>
      <c r="G666" s="3">
        <v>0</v>
      </c>
      <c r="H666" s="3">
        <v>0</v>
      </c>
      <c r="I666" s="3">
        <v>0</v>
      </c>
      <c r="J666" s="3">
        <v>0</v>
      </c>
      <c r="K666" s="3">
        <f>IF($B$664=12,'payment summary to Trustee'!$AW666,('payment summary to Trustee'!$BD666-'CDE Intercept  '!$T666)/4)</f>
        <v>0</v>
      </c>
      <c r="L666" s="3">
        <f>IF($B$664=12,'payment summary to Trustee'!$AW666,('payment summary to Trustee'!$BD666-'CDE Intercept  '!$T666)/4)</f>
        <v>0</v>
      </c>
      <c r="M666" s="3">
        <f>IF($B$664=12,'payment summary to Trustee'!$AW666,('payment summary to Trustee'!$BD666-'CDE Intercept  '!$T666)/4)</f>
        <v>0</v>
      </c>
      <c r="N666" s="3">
        <v>0</v>
      </c>
      <c r="O666" s="118">
        <f>IF($B$664=12,'payment summary to Trustee'!$AW666,('payment summary to Trustee'!$BD666-'CDE Intercept  '!$T666)/4)</f>
        <v>0</v>
      </c>
      <c r="P666" s="3">
        <v>0</v>
      </c>
      <c r="Q666" s="3">
        <v>0</v>
      </c>
      <c r="R666" s="3">
        <f>SUM(F666:Q666)</f>
        <v>250</v>
      </c>
      <c r="T666" s="3">
        <f t="shared" ref="T666:T667" si="256">SUM(F666:J666)</f>
        <v>250</v>
      </c>
      <c r="U666" s="93">
        <f>SUM(K666:Q666)</f>
        <v>0</v>
      </c>
      <c r="V666" s="11">
        <f>SUM(T666:U666)-R666</f>
        <v>0</v>
      </c>
    </row>
    <row r="667" spans="1:22" ht="13.5" thickBot="1" x14ac:dyDescent="0.35">
      <c r="A667" t="s">
        <v>322</v>
      </c>
      <c r="B667">
        <v>9.3000000000000007</v>
      </c>
      <c r="E667" s="8" t="s">
        <v>10</v>
      </c>
      <c r="F667" s="3">
        <f>14147.6+11068.69</f>
        <v>25216.29</v>
      </c>
      <c r="G667" s="3">
        <f>14178.84+11037.45</f>
        <v>25216.29</v>
      </c>
      <c r="H667" s="3">
        <f>14210.15+11006.14</f>
        <v>25216.29</v>
      </c>
      <c r="I667" s="3">
        <f>14241.53+10974.76</f>
        <v>25216.29</v>
      </c>
      <c r="J667" s="3">
        <f>14272.98+10943.31</f>
        <v>25216.29</v>
      </c>
      <c r="K667" s="3">
        <f>IF($B$664=12,'payment summary to Trustee'!$AW667,('payment summary to Trustee'!$BD667-'CDE Intercept  '!$T667)/4)</f>
        <v>44128.512499999997</v>
      </c>
      <c r="L667" s="3">
        <f>IF($B$664=12,'payment summary to Trustee'!$AW667,('payment summary to Trustee'!$BD667-'CDE Intercept  '!$T667)/4)</f>
        <v>44128.512499999997</v>
      </c>
      <c r="M667" s="3">
        <f>IF($B$664=12,'payment summary to Trustee'!$AW667,('payment summary to Trustee'!$BD667-'CDE Intercept  '!$T667)/4)</f>
        <v>44128.512499999997</v>
      </c>
      <c r="N667" s="3">
        <v>0</v>
      </c>
      <c r="O667" s="118">
        <f>IF($B$664=12,'payment summary to Trustee'!$AW667,('payment summary to Trustee'!$BD667-'CDE Intercept  '!$T667)/4)</f>
        <v>44128.512499999997</v>
      </c>
      <c r="P667" s="3">
        <v>0</v>
      </c>
      <c r="Q667" s="3">
        <v>0</v>
      </c>
      <c r="R667" s="3">
        <f>SUM(F667:Q667)</f>
        <v>302595.50000000006</v>
      </c>
      <c r="T667" s="3">
        <f t="shared" si="256"/>
        <v>126081.45000000001</v>
      </c>
      <c r="U667" s="94">
        <f>SUM(K667:Q667)</f>
        <v>176514.05</v>
      </c>
      <c r="V667" s="11">
        <f>SUM(T667:U667)-R667</f>
        <v>0</v>
      </c>
    </row>
    <row r="668" spans="1:22" ht="13.5" thickBot="1" x14ac:dyDescent="0.35">
      <c r="E668" s="13" t="s">
        <v>323</v>
      </c>
      <c r="F668" s="22">
        <f t="shared" ref="F668:R668" si="257">SUM(F665:F667)</f>
        <v>25466.29</v>
      </c>
      <c r="G668" s="22">
        <f t="shared" si="257"/>
        <v>25216.29</v>
      </c>
      <c r="H668" s="22">
        <f t="shared" si="257"/>
        <v>25216.29</v>
      </c>
      <c r="I668" s="22">
        <f t="shared" si="257"/>
        <v>25216.29</v>
      </c>
      <c r="J668" s="22">
        <f t="shared" si="257"/>
        <v>25216.29</v>
      </c>
      <c r="K668" s="22">
        <f t="shared" si="257"/>
        <v>44128.512499999997</v>
      </c>
      <c r="L668" s="22">
        <f t="shared" si="257"/>
        <v>44128.512499999997</v>
      </c>
      <c r="M668" s="22">
        <f t="shared" si="257"/>
        <v>44128.512499999997</v>
      </c>
      <c r="N668" s="22">
        <f t="shared" si="257"/>
        <v>0</v>
      </c>
      <c r="O668" s="119">
        <f t="shared" si="257"/>
        <v>44128.512499999997</v>
      </c>
      <c r="P668" s="22">
        <f t="shared" ref="P668" si="258">SUM(P665:P667)</f>
        <v>0</v>
      </c>
      <c r="Q668" s="22">
        <f t="shared" si="257"/>
        <v>0</v>
      </c>
      <c r="R668" s="22">
        <f t="shared" si="257"/>
        <v>302845.50000000006</v>
      </c>
      <c r="T668" s="39">
        <f>SUM(T665:T667)</f>
        <v>126331.45000000001</v>
      </c>
      <c r="U668" s="78">
        <f>SUM(U665:U667)</f>
        <v>176514.05</v>
      </c>
      <c r="V668" s="11">
        <f>SUM(T668:U668)-R668</f>
        <v>0</v>
      </c>
    </row>
    <row r="669" spans="1:22" x14ac:dyDescent="0.3">
      <c r="E669" s="15"/>
      <c r="O669" s="118"/>
    </row>
    <row r="670" spans="1:22" ht="15.5" x14ac:dyDescent="0.35">
      <c r="B670">
        <v>9</v>
      </c>
      <c r="C670" s="20">
        <f>+C664+1</f>
        <v>78</v>
      </c>
      <c r="D670" s="1" t="s">
        <v>14</v>
      </c>
      <c r="E670" s="25" t="s">
        <v>324</v>
      </c>
      <c r="O670" s="118"/>
    </row>
    <row r="671" spans="1:22" x14ac:dyDescent="0.3">
      <c r="B671">
        <v>9.1</v>
      </c>
      <c r="E671" s="8" t="s">
        <v>8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f>IF($B$670=12,'payment summary to Trustee'!$AW671,('payment summary to Trustee'!$BD671-'CDE Intercept  '!$T671)/4)</f>
        <v>0</v>
      </c>
      <c r="L671" s="3">
        <f>IF($B$670=12,'payment summary to Trustee'!$AW671,('payment summary to Trustee'!$BD671-'CDE Intercept  '!$T671)/4)</f>
        <v>0</v>
      </c>
      <c r="M671" s="3">
        <f>IF($B$670=12,'payment summary to Trustee'!$AW671,('payment summary to Trustee'!$BD671-'CDE Intercept  '!$T671)/4)</f>
        <v>0</v>
      </c>
      <c r="N671" s="3">
        <v>0</v>
      </c>
      <c r="O671" s="118">
        <f>IF($B$670=12,'payment summary to Trustee'!$AW671,('payment summary to Trustee'!$BD671-'CDE Intercept  '!$T671)/4)</f>
        <v>0</v>
      </c>
      <c r="P671" s="3">
        <v>0</v>
      </c>
      <c r="Q671" s="3">
        <v>0</v>
      </c>
      <c r="R671" s="3">
        <f>SUM(F671:Q671)</f>
        <v>0</v>
      </c>
      <c r="T671" s="3">
        <f>SUM(F671:J671)</f>
        <v>0</v>
      </c>
      <c r="U671" s="93">
        <f>SUM(K671:Q671)</f>
        <v>0</v>
      </c>
      <c r="V671" s="11">
        <f>SUM(T671:U671)-R671</f>
        <v>0</v>
      </c>
    </row>
    <row r="672" spans="1:22" x14ac:dyDescent="0.3">
      <c r="B672">
        <v>9.1999999999999993</v>
      </c>
      <c r="E672" s="8" t="s">
        <v>9</v>
      </c>
      <c r="F672" s="3">
        <v>250</v>
      </c>
      <c r="G672" s="3">
        <v>0</v>
      </c>
      <c r="H672" s="3">
        <v>0</v>
      </c>
      <c r="I672" s="3">
        <v>0</v>
      </c>
      <c r="J672" s="3">
        <v>0</v>
      </c>
      <c r="K672" s="3">
        <f>IF($B$670=12,'payment summary to Trustee'!$AW672,('payment summary to Trustee'!$BD672-'CDE Intercept  '!$T672)/4)</f>
        <v>0</v>
      </c>
      <c r="L672" s="3">
        <f>IF($B$670=12,'payment summary to Trustee'!$AW672,('payment summary to Trustee'!$BD672-'CDE Intercept  '!$T672)/4)</f>
        <v>0</v>
      </c>
      <c r="M672" s="3">
        <f>IF($B$670=12,'payment summary to Trustee'!$AW672,('payment summary to Trustee'!$BD672-'CDE Intercept  '!$T672)/4)</f>
        <v>0</v>
      </c>
      <c r="N672" s="3">
        <v>0</v>
      </c>
      <c r="O672" s="118">
        <f>IF($B$670=12,'payment summary to Trustee'!$AW672,('payment summary to Trustee'!$BD672-'CDE Intercept  '!$T672)/4)</f>
        <v>0</v>
      </c>
      <c r="P672" s="3">
        <v>0</v>
      </c>
      <c r="Q672" s="3">
        <v>0</v>
      </c>
      <c r="R672" s="3">
        <f>SUM(F672:Q672)</f>
        <v>250</v>
      </c>
      <c r="T672" s="3">
        <f t="shared" ref="T672:T673" si="259">SUM(F672:J672)</f>
        <v>250</v>
      </c>
      <c r="U672" s="93">
        <f>SUM(K672:Q672)</f>
        <v>0</v>
      </c>
      <c r="V672" s="11">
        <f>SUM(T672:U672)-R672</f>
        <v>0</v>
      </c>
    </row>
    <row r="673" spans="1:22" ht="13.5" thickBot="1" x14ac:dyDescent="0.35">
      <c r="A673" t="s">
        <v>325</v>
      </c>
      <c r="B673">
        <v>9.3000000000000007</v>
      </c>
      <c r="E673" s="8" t="s">
        <v>10</v>
      </c>
      <c r="F673" s="3">
        <f>25416.67+82966.67</f>
        <v>108383.34</v>
      </c>
      <c r="G673" s="3">
        <f>25416.67+82966.67</f>
        <v>108383.34</v>
      </c>
      <c r="H673" s="3">
        <f t="shared" ref="H673:J673" si="260">25416.67+82966.67</f>
        <v>108383.34</v>
      </c>
      <c r="I673" s="3">
        <f t="shared" si="260"/>
        <v>108383.34</v>
      </c>
      <c r="J673" s="3">
        <f t="shared" si="260"/>
        <v>108383.34</v>
      </c>
      <c r="K673" s="3">
        <f>IF($B$670=12,'payment summary to Trustee'!$AW673,('payment summary to Trustee'!$BD673-'CDE Intercept  '!$T673)/4)</f>
        <v>189579.17499999999</v>
      </c>
      <c r="L673" s="3">
        <f>IF($B$670=12,'payment summary to Trustee'!$AW673,('payment summary to Trustee'!$BD673-'CDE Intercept  '!$T673)/4)</f>
        <v>189579.17499999999</v>
      </c>
      <c r="M673" s="3">
        <f>IF($B$670=12,'payment summary to Trustee'!$AW673,('payment summary to Trustee'!$BD673-'CDE Intercept  '!$T673)/4)</f>
        <v>189579.17499999999</v>
      </c>
      <c r="N673" s="3">
        <v>0</v>
      </c>
      <c r="O673" s="118">
        <f>IF($B$670=12,'payment summary to Trustee'!$AW673,('payment summary to Trustee'!$BD673-'CDE Intercept  '!$T673)/4)</f>
        <v>189579.17499999999</v>
      </c>
      <c r="P673" s="3">
        <v>0</v>
      </c>
      <c r="Q673" s="3">
        <v>0</v>
      </c>
      <c r="R673" s="3">
        <f>SUM(F673:Q673)</f>
        <v>1300233.4000000001</v>
      </c>
      <c r="T673" s="3">
        <f t="shared" si="259"/>
        <v>541916.69999999995</v>
      </c>
      <c r="U673" s="94">
        <f>SUM(K673:Q673)</f>
        <v>758316.7</v>
      </c>
      <c r="V673" s="11">
        <f>SUM(T673:U673)-R673</f>
        <v>0</v>
      </c>
    </row>
    <row r="674" spans="1:22" ht="13.5" thickBot="1" x14ac:dyDescent="0.35">
      <c r="E674" s="13" t="s">
        <v>326</v>
      </c>
      <c r="F674" s="22">
        <f t="shared" ref="F674:R674" si="261">SUM(F671:F673)</f>
        <v>108633.34</v>
      </c>
      <c r="G674" s="22">
        <f t="shared" si="261"/>
        <v>108383.34</v>
      </c>
      <c r="H674" s="22">
        <f t="shared" si="261"/>
        <v>108383.34</v>
      </c>
      <c r="I674" s="22">
        <f t="shared" si="261"/>
        <v>108383.34</v>
      </c>
      <c r="J674" s="22">
        <f t="shared" si="261"/>
        <v>108383.34</v>
      </c>
      <c r="K674" s="22">
        <f t="shared" si="261"/>
        <v>189579.17499999999</v>
      </c>
      <c r="L674" s="22">
        <f t="shared" si="261"/>
        <v>189579.17499999999</v>
      </c>
      <c r="M674" s="22">
        <f t="shared" si="261"/>
        <v>189579.17499999999</v>
      </c>
      <c r="N674" s="22">
        <f t="shared" si="261"/>
        <v>0</v>
      </c>
      <c r="O674" s="119">
        <f t="shared" si="261"/>
        <v>189579.17499999999</v>
      </c>
      <c r="P674" s="22">
        <f t="shared" ref="P674" si="262">SUM(P671:P673)</f>
        <v>0</v>
      </c>
      <c r="Q674" s="22">
        <f t="shared" si="261"/>
        <v>0</v>
      </c>
      <c r="R674" s="22">
        <f t="shared" si="261"/>
        <v>1300483.4000000001</v>
      </c>
      <c r="T674" s="39">
        <f>SUM(T671:T673)</f>
        <v>542166.69999999995</v>
      </c>
      <c r="U674" s="78">
        <f>SUM(U671:U673)</f>
        <v>758316.7</v>
      </c>
      <c r="V674" s="11">
        <f>SUM(T674:U674)-R674</f>
        <v>0</v>
      </c>
    </row>
    <row r="675" spans="1:22" x14ac:dyDescent="0.3">
      <c r="E675" s="15"/>
      <c r="O675" s="118"/>
    </row>
    <row r="676" spans="1:22" ht="15.5" x14ac:dyDescent="0.35">
      <c r="B676">
        <v>9</v>
      </c>
      <c r="C676" s="20">
        <f>+C670+1</f>
        <v>79</v>
      </c>
      <c r="D676" s="1" t="s">
        <v>14</v>
      </c>
      <c r="E676" s="25" t="s">
        <v>327</v>
      </c>
      <c r="O676" s="118"/>
    </row>
    <row r="677" spans="1:22" x14ac:dyDescent="0.3">
      <c r="B677">
        <v>9.1</v>
      </c>
      <c r="E677" s="8" t="s">
        <v>8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f>IF($B$676=12,'payment summary to Trustee'!$AW677,('payment summary to Trustee'!$BD677-'CDE Intercept  '!$T677)/4)</f>
        <v>0</v>
      </c>
      <c r="L677" s="3">
        <f>IF($B$676=12,'payment summary to Trustee'!$AW677,('payment summary to Trustee'!$BD677-'CDE Intercept  '!$T677)/4)</f>
        <v>0</v>
      </c>
      <c r="M677" s="3">
        <f>IF($B$676=12,'payment summary to Trustee'!$AW677,('payment summary to Trustee'!$BD677-'CDE Intercept  '!$T677)/4)</f>
        <v>0</v>
      </c>
      <c r="N677" s="3">
        <v>0</v>
      </c>
      <c r="O677" s="118">
        <f>IF($B$676=12,'payment summary to Trustee'!$AW677,('payment summary to Trustee'!$BD677-'CDE Intercept  '!$T677)/4)</f>
        <v>0</v>
      </c>
      <c r="P677" s="3">
        <v>0</v>
      </c>
      <c r="Q677" s="3">
        <v>0</v>
      </c>
      <c r="R677" s="3">
        <f>SUM(F677:Q677)</f>
        <v>0</v>
      </c>
      <c r="T677" s="3">
        <f>SUM(F677:J677)</f>
        <v>0</v>
      </c>
      <c r="U677" s="93">
        <f>SUM(K677:Q677)</f>
        <v>0</v>
      </c>
      <c r="V677" s="11">
        <f>SUM(T677:U677)-R677</f>
        <v>0</v>
      </c>
    </row>
    <row r="678" spans="1:22" x14ac:dyDescent="0.3">
      <c r="B678">
        <v>9.1999999999999993</v>
      </c>
      <c r="E678" s="8" t="s">
        <v>9</v>
      </c>
      <c r="F678" s="3">
        <v>250</v>
      </c>
      <c r="G678" s="3">
        <v>0</v>
      </c>
      <c r="H678" s="3">
        <v>0</v>
      </c>
      <c r="I678" s="3">
        <v>0</v>
      </c>
      <c r="J678" s="3">
        <v>0</v>
      </c>
      <c r="K678" s="3">
        <f>IF($B$676=12,'payment summary to Trustee'!$AW678,('payment summary to Trustee'!$BD678-'CDE Intercept  '!$T678)/4)</f>
        <v>0</v>
      </c>
      <c r="L678" s="3">
        <f>IF($B$676=12,'payment summary to Trustee'!$AW678,('payment summary to Trustee'!$BD678-'CDE Intercept  '!$T678)/4)</f>
        <v>0</v>
      </c>
      <c r="M678" s="3">
        <f>IF($B$676=12,'payment summary to Trustee'!$AW678,('payment summary to Trustee'!$BD678-'CDE Intercept  '!$T678)/4)</f>
        <v>0</v>
      </c>
      <c r="N678" s="3">
        <v>0</v>
      </c>
      <c r="O678" s="118">
        <f>IF($B$676=12,'payment summary to Trustee'!$AW678,('payment summary to Trustee'!$BD678-'CDE Intercept  '!$T678)/4)</f>
        <v>0</v>
      </c>
      <c r="P678" s="3">
        <v>0</v>
      </c>
      <c r="Q678" s="3">
        <v>0</v>
      </c>
      <c r="R678" s="3">
        <f>SUM(F678:Q678)</f>
        <v>250</v>
      </c>
      <c r="T678" s="3">
        <f t="shared" ref="T678:T679" si="263">SUM(F678:J678)</f>
        <v>250</v>
      </c>
      <c r="U678" s="93">
        <f>SUM(K678:Q678)</f>
        <v>0</v>
      </c>
      <c r="V678" s="11">
        <f>SUM(T678:U678)-R678</f>
        <v>0</v>
      </c>
    </row>
    <row r="679" spans="1:22" ht="13.5" thickBot="1" x14ac:dyDescent="0.35">
      <c r="A679" t="s">
        <v>328</v>
      </c>
      <c r="B679">
        <v>9.3000000000000007</v>
      </c>
      <c r="E679" s="8" t="s">
        <v>10</v>
      </c>
      <c r="F679" s="3">
        <f>10416.67+51733.34</f>
        <v>62150.009999999995</v>
      </c>
      <c r="G679" s="3">
        <f t="shared" ref="G679:J679" si="264">10416.67+51733.34</f>
        <v>62150.009999999995</v>
      </c>
      <c r="H679" s="3">
        <f t="shared" si="264"/>
        <v>62150.009999999995</v>
      </c>
      <c r="I679" s="3">
        <f t="shared" si="264"/>
        <v>62150.009999999995</v>
      </c>
      <c r="J679" s="3">
        <f t="shared" si="264"/>
        <v>62150.009999999995</v>
      </c>
      <c r="K679" s="3">
        <f>IF($B$676=12,'payment summary to Trustee'!$AW679,('payment summary to Trustee'!$BD679-'CDE Intercept  '!$T679)/4)</f>
        <v>108697.41749999994</v>
      </c>
      <c r="L679" s="3">
        <f>IF($B$676=12,'payment summary to Trustee'!$AW679,('payment summary to Trustee'!$BD679-'CDE Intercept  '!$T679)/4)</f>
        <v>108697.41749999994</v>
      </c>
      <c r="M679" s="3">
        <f>IF($B$676=12,'payment summary to Trustee'!$AW679,('payment summary to Trustee'!$BD679-'CDE Intercept  '!$T679)/4)</f>
        <v>108697.41749999994</v>
      </c>
      <c r="N679" s="3">
        <v>0</v>
      </c>
      <c r="O679" s="118">
        <f>IF($B$676=12,'payment summary to Trustee'!$AW679,('payment summary to Trustee'!$BD679-'CDE Intercept  '!$T679)/4)</f>
        <v>108697.41749999994</v>
      </c>
      <c r="P679" s="3">
        <v>0</v>
      </c>
      <c r="Q679" s="3">
        <v>0</v>
      </c>
      <c r="R679" s="3">
        <f>SUM(F679:Q679)</f>
        <v>745539.71999999986</v>
      </c>
      <c r="T679" s="3">
        <f t="shared" si="263"/>
        <v>310750.05</v>
      </c>
      <c r="U679" s="94">
        <f>SUM(K679:Q679)</f>
        <v>434789.66999999975</v>
      </c>
      <c r="V679" s="11">
        <f>SUM(T679:U679)-R679</f>
        <v>0</v>
      </c>
    </row>
    <row r="680" spans="1:22" ht="13.5" thickBot="1" x14ac:dyDescent="0.35">
      <c r="E680" s="13" t="s">
        <v>329</v>
      </c>
      <c r="F680" s="22">
        <f t="shared" ref="F680:R680" si="265">SUM(F677:F679)</f>
        <v>62400.009999999995</v>
      </c>
      <c r="G680" s="22">
        <f t="shared" si="265"/>
        <v>62150.009999999995</v>
      </c>
      <c r="H680" s="22">
        <f t="shared" si="265"/>
        <v>62150.009999999995</v>
      </c>
      <c r="I680" s="22">
        <f t="shared" si="265"/>
        <v>62150.009999999995</v>
      </c>
      <c r="J680" s="22">
        <f t="shared" si="265"/>
        <v>62150.009999999995</v>
      </c>
      <c r="K680" s="22">
        <f t="shared" si="265"/>
        <v>108697.41749999994</v>
      </c>
      <c r="L680" s="22">
        <f t="shared" si="265"/>
        <v>108697.41749999994</v>
      </c>
      <c r="M680" s="22">
        <f t="shared" si="265"/>
        <v>108697.41749999994</v>
      </c>
      <c r="N680" s="22">
        <f t="shared" si="265"/>
        <v>0</v>
      </c>
      <c r="O680" s="119">
        <f t="shared" si="265"/>
        <v>108697.41749999994</v>
      </c>
      <c r="P680" s="22">
        <f t="shared" ref="P680" si="266">SUM(P677:P679)</f>
        <v>0</v>
      </c>
      <c r="Q680" s="22">
        <f t="shared" si="265"/>
        <v>0</v>
      </c>
      <c r="R680" s="22">
        <f t="shared" si="265"/>
        <v>745789.71999999986</v>
      </c>
      <c r="T680" s="39">
        <f>SUM(T677:T679)</f>
        <v>311000.05</v>
      </c>
      <c r="U680" s="78">
        <f>SUM(U677:U679)</f>
        <v>434789.66999999975</v>
      </c>
      <c r="V680" s="11">
        <f>SUM(T680:U680)-R680</f>
        <v>0</v>
      </c>
    </row>
    <row r="681" spans="1:22" x14ac:dyDescent="0.3">
      <c r="E681" s="15"/>
      <c r="O681" s="118"/>
    </row>
    <row r="682" spans="1:22" ht="15.5" x14ac:dyDescent="0.35">
      <c r="B682">
        <v>9</v>
      </c>
      <c r="C682" s="20">
        <f>+C676+1</f>
        <v>80</v>
      </c>
      <c r="D682" s="1" t="s">
        <v>14</v>
      </c>
      <c r="E682" s="25" t="s">
        <v>330</v>
      </c>
      <c r="O682" s="118"/>
    </row>
    <row r="683" spans="1:22" x14ac:dyDescent="0.3">
      <c r="B683">
        <v>9.1</v>
      </c>
      <c r="E683" s="8" t="s">
        <v>8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f>IF($B$682=12,'payment summary to Trustee'!$AW683,('payment summary to Trustee'!$BD683-'CDE Intercept  '!$T683)/4)</f>
        <v>0</v>
      </c>
      <c r="L683" s="3">
        <f>IF($B$682=12,'payment summary to Trustee'!$AW683,('payment summary to Trustee'!$BD683-'CDE Intercept  '!$T683)/4)</f>
        <v>0</v>
      </c>
      <c r="M683" s="3">
        <f>IF($B$682=12,'payment summary to Trustee'!$AW683,('payment summary to Trustee'!$BD683-'CDE Intercept  '!$T683)/4)</f>
        <v>0</v>
      </c>
      <c r="N683" s="3">
        <v>0</v>
      </c>
      <c r="O683" s="118">
        <f>IF($B$682=12,'payment summary to Trustee'!$AW683,('payment summary to Trustee'!$BD683-'CDE Intercept  '!$T683)/4)</f>
        <v>0</v>
      </c>
      <c r="P683" s="3">
        <v>0</v>
      </c>
      <c r="Q683" s="3">
        <v>0</v>
      </c>
      <c r="R683" s="3">
        <f>SUM(F683:Q683)</f>
        <v>0</v>
      </c>
      <c r="T683" s="3">
        <f>SUM(F683:J683)</f>
        <v>0</v>
      </c>
      <c r="U683" s="93">
        <f>SUM(K683:Q683)</f>
        <v>0</v>
      </c>
      <c r="V683" s="11">
        <f>SUM(T683:U683)-R683</f>
        <v>0</v>
      </c>
    </row>
    <row r="684" spans="1:22" x14ac:dyDescent="0.3">
      <c r="B684">
        <v>9.1999999999999993</v>
      </c>
      <c r="E684" s="8" t="s">
        <v>9</v>
      </c>
      <c r="F684" s="3">
        <v>250</v>
      </c>
      <c r="G684" s="3">
        <v>0</v>
      </c>
      <c r="H684" s="3">
        <v>0</v>
      </c>
      <c r="I684" s="3">
        <v>0</v>
      </c>
      <c r="J684" s="3">
        <v>0</v>
      </c>
      <c r="K684" s="3">
        <f>IF($B$682=12,'payment summary to Trustee'!$AW684,('payment summary to Trustee'!$BD684-'CDE Intercept  '!$T684)/4)</f>
        <v>0</v>
      </c>
      <c r="L684" s="3">
        <f>IF($B$682=12,'payment summary to Trustee'!$AW684,('payment summary to Trustee'!$BD684-'CDE Intercept  '!$T684)/4)</f>
        <v>0</v>
      </c>
      <c r="M684" s="3">
        <f>IF($B$682=12,'payment summary to Trustee'!$AW684,('payment summary to Trustee'!$BD684-'CDE Intercept  '!$T684)/4)</f>
        <v>0</v>
      </c>
      <c r="N684" s="3">
        <v>0</v>
      </c>
      <c r="O684" s="118">
        <f>IF($B$682=12,'payment summary to Trustee'!$AW684,('payment summary to Trustee'!$BD684-'CDE Intercept  '!$T684)/4)</f>
        <v>0</v>
      </c>
      <c r="P684" s="3">
        <v>0</v>
      </c>
      <c r="Q684" s="3">
        <v>0</v>
      </c>
      <c r="R684" s="3">
        <f>SUM(F684:Q684)</f>
        <v>250</v>
      </c>
      <c r="T684" s="3">
        <f t="shared" ref="T684:T685" si="267">SUM(F684:J684)</f>
        <v>250</v>
      </c>
      <c r="U684" s="93">
        <f>SUM(K684:Q684)</f>
        <v>0</v>
      </c>
      <c r="V684" s="11">
        <f>SUM(T684:U684)-R684</f>
        <v>0</v>
      </c>
    </row>
    <row r="685" spans="1:22" ht="13.5" thickBot="1" x14ac:dyDescent="0.35">
      <c r="A685" t="s">
        <v>331</v>
      </c>
      <c r="B685">
        <v>9.3000000000000007</v>
      </c>
      <c r="E685" s="8" t="s">
        <v>10</v>
      </c>
      <c r="F685" s="3">
        <v>101677.11</v>
      </c>
      <c r="G685" s="3">
        <v>101677.11</v>
      </c>
      <c r="H685" s="3">
        <v>101677.11</v>
      </c>
      <c r="I685" s="3">
        <v>101677.11</v>
      </c>
      <c r="J685" s="3">
        <v>101677.11</v>
      </c>
      <c r="K685" s="3">
        <f>IF($B$682=12,'payment summary to Trustee'!$AW685,('payment summary to Trustee'!$BD685-'CDE Intercept  '!$T685)/4)</f>
        <v>177934.9425</v>
      </c>
      <c r="L685" s="3">
        <f>IF($B$682=12,'payment summary to Trustee'!$AW685,('payment summary to Trustee'!$BD685-'CDE Intercept  '!$T685)/4)</f>
        <v>177934.9425</v>
      </c>
      <c r="M685" s="3">
        <f>IF($B$682=12,'payment summary to Trustee'!$AW685,('payment summary to Trustee'!$BD685-'CDE Intercept  '!$T685)/4)</f>
        <v>177934.9425</v>
      </c>
      <c r="N685" s="3">
        <v>0</v>
      </c>
      <c r="O685" s="118">
        <f>IF($B$682=12,'payment summary to Trustee'!$AW685,('payment summary to Trustee'!$BD685-'CDE Intercept  '!$T685)/4)</f>
        <v>177934.9425</v>
      </c>
      <c r="P685" s="3">
        <v>0</v>
      </c>
      <c r="Q685" s="3">
        <v>0</v>
      </c>
      <c r="R685" s="3">
        <f>SUM(F685:Q685)</f>
        <v>1220125.3199999998</v>
      </c>
      <c r="T685" s="3">
        <f t="shared" si="267"/>
        <v>508385.55</v>
      </c>
      <c r="U685" s="94">
        <f>SUM(K685:Q685)</f>
        <v>711739.77</v>
      </c>
      <c r="V685" s="11">
        <f>SUM(T685:U685)-R685</f>
        <v>0</v>
      </c>
    </row>
    <row r="686" spans="1:22" ht="13.5" thickBot="1" x14ac:dyDescent="0.35">
      <c r="E686" s="13" t="s">
        <v>332</v>
      </c>
      <c r="F686" s="22">
        <f t="shared" ref="F686:R686" si="268">SUM(F683:F685)</f>
        <v>101927.11</v>
      </c>
      <c r="G686" s="22">
        <f t="shared" si="268"/>
        <v>101677.11</v>
      </c>
      <c r="H686" s="22">
        <f t="shared" si="268"/>
        <v>101677.11</v>
      </c>
      <c r="I686" s="22">
        <f t="shared" si="268"/>
        <v>101677.11</v>
      </c>
      <c r="J686" s="22">
        <f t="shared" si="268"/>
        <v>101677.11</v>
      </c>
      <c r="K686" s="22">
        <f t="shared" si="268"/>
        <v>177934.9425</v>
      </c>
      <c r="L686" s="22">
        <f t="shared" si="268"/>
        <v>177934.9425</v>
      </c>
      <c r="M686" s="22">
        <f t="shared" si="268"/>
        <v>177934.9425</v>
      </c>
      <c r="N686" s="22">
        <f t="shared" si="268"/>
        <v>0</v>
      </c>
      <c r="O686" s="119">
        <f t="shared" si="268"/>
        <v>177934.9425</v>
      </c>
      <c r="P686" s="22">
        <f t="shared" ref="P686" si="269">SUM(P683:P685)</f>
        <v>0</v>
      </c>
      <c r="Q686" s="22">
        <f t="shared" si="268"/>
        <v>0</v>
      </c>
      <c r="R686" s="22">
        <f t="shared" si="268"/>
        <v>1220375.3199999998</v>
      </c>
      <c r="T686" s="39">
        <f>SUM(T683:T685)</f>
        <v>508635.55</v>
      </c>
      <c r="U686" s="78">
        <f>SUM(U683:U685)</f>
        <v>711739.77</v>
      </c>
      <c r="V686" s="11">
        <f>SUM(T686:U686)-R686</f>
        <v>0</v>
      </c>
    </row>
    <row r="687" spans="1:22" x14ac:dyDescent="0.3">
      <c r="E687" s="15"/>
      <c r="O687" s="118"/>
    </row>
    <row r="688" spans="1:22" ht="15.5" x14ac:dyDescent="0.35">
      <c r="B688">
        <v>9</v>
      </c>
      <c r="C688" s="20">
        <f>+C682+1</f>
        <v>81</v>
      </c>
      <c r="D688" s="1" t="s">
        <v>14</v>
      </c>
      <c r="E688" s="25" t="s">
        <v>333</v>
      </c>
      <c r="O688" s="118"/>
    </row>
    <row r="689" spans="1:22" x14ac:dyDescent="0.3">
      <c r="B689">
        <v>9.1</v>
      </c>
      <c r="E689" s="8" t="s">
        <v>8</v>
      </c>
      <c r="F689" s="3">
        <v>1455.42</v>
      </c>
      <c r="G689" s="3">
        <v>1455.42</v>
      </c>
      <c r="H689" s="3">
        <v>1455.42</v>
      </c>
      <c r="I689" s="3">
        <v>1455.42</v>
      </c>
      <c r="J689" s="3">
        <v>1455.42</v>
      </c>
      <c r="K689" s="3">
        <f>IF($B$688=12,'payment summary to Trustee'!$AW689,('payment summary to Trustee'!$BD689-'CDE Intercept  '!$T689)/4)</f>
        <v>2539.0675000000006</v>
      </c>
      <c r="L689" s="3">
        <f>IF($B$688=12,'payment summary to Trustee'!$AW689,('payment summary to Trustee'!$BD689-'CDE Intercept  '!$T689)/4)</f>
        <v>2539.0675000000006</v>
      </c>
      <c r="M689" s="3">
        <f>IF($B$688=12,'payment summary to Trustee'!$AW689,('payment summary to Trustee'!$BD689-'CDE Intercept  '!$T689)/4)</f>
        <v>2539.0675000000006</v>
      </c>
      <c r="N689" s="3">
        <v>0</v>
      </c>
      <c r="O689" s="118">
        <f>IF($B$688=12,'payment summary to Trustee'!$AW689,('payment summary to Trustee'!$BD689-'CDE Intercept  '!$T689)/4)</f>
        <v>2539.0675000000006</v>
      </c>
      <c r="P689" s="3">
        <v>0</v>
      </c>
      <c r="Q689" s="3">
        <v>0</v>
      </c>
      <c r="R689" s="3">
        <f>SUM(F689:Q689)</f>
        <v>17433.370000000003</v>
      </c>
      <c r="T689" s="3">
        <f>SUM(F689:J689)</f>
        <v>7277.1</v>
      </c>
      <c r="U689" s="93">
        <f>SUM(K689:Q689)</f>
        <v>10156.270000000002</v>
      </c>
      <c r="V689" s="11">
        <f>SUM(T689:U689)-R689</f>
        <v>0</v>
      </c>
    </row>
    <row r="690" spans="1:22" x14ac:dyDescent="0.3">
      <c r="B690">
        <v>9.1999999999999993</v>
      </c>
      <c r="E690" s="8" t="s">
        <v>9</v>
      </c>
      <c r="F690" s="3">
        <v>250</v>
      </c>
      <c r="G690" s="3">
        <v>0</v>
      </c>
      <c r="H690" s="3">
        <v>0</v>
      </c>
      <c r="I690" s="3">
        <v>0</v>
      </c>
      <c r="J690" s="3">
        <v>0</v>
      </c>
      <c r="K690" s="3">
        <f>IF($B$688=12,'payment summary to Trustee'!$AW690,('payment summary to Trustee'!$BD690-'CDE Intercept  '!$T690)/4)</f>
        <v>0</v>
      </c>
      <c r="L690" s="3">
        <f>IF($B$688=12,'payment summary to Trustee'!$AW690,('payment summary to Trustee'!$BD690-'CDE Intercept  '!$T690)/4)</f>
        <v>0</v>
      </c>
      <c r="M690" s="3">
        <f>IF($B$688=12,'payment summary to Trustee'!$AW690,('payment summary to Trustee'!$BD690-'CDE Intercept  '!$T690)/4)</f>
        <v>0</v>
      </c>
      <c r="N690" s="3">
        <v>0</v>
      </c>
      <c r="O690" s="118">
        <f>IF($B$688=12,'payment summary to Trustee'!$AW690,('payment summary to Trustee'!$BD690-'CDE Intercept  '!$T690)/4)</f>
        <v>0</v>
      </c>
      <c r="P690" s="3">
        <v>0</v>
      </c>
      <c r="Q690" s="3">
        <v>0</v>
      </c>
      <c r="R690" s="3">
        <f>SUM(F690:Q690)</f>
        <v>250</v>
      </c>
      <c r="T690" s="3">
        <f t="shared" ref="T690:T691" si="270">SUM(F690:J690)</f>
        <v>250</v>
      </c>
      <c r="U690" s="93">
        <f>SUM(K690:Q690)</f>
        <v>0</v>
      </c>
      <c r="V690" s="11">
        <f>SUM(T690:U690)-R690</f>
        <v>0</v>
      </c>
    </row>
    <row r="691" spans="1:22" ht="13.5" thickBot="1" x14ac:dyDescent="0.35">
      <c r="A691" t="s">
        <v>334</v>
      </c>
      <c r="B691">
        <v>9.3000000000000007</v>
      </c>
      <c r="E691" s="8" t="s">
        <v>10</v>
      </c>
      <c r="F691" s="3">
        <f>31666.67+46575</f>
        <v>78241.67</v>
      </c>
      <c r="G691" s="3">
        <f>32916.67+45308.33</f>
        <v>78225</v>
      </c>
      <c r="H691" s="3">
        <f t="shared" ref="H691:J691" si="271">32916.67+45308.33</f>
        <v>78225</v>
      </c>
      <c r="I691" s="3">
        <f t="shared" si="271"/>
        <v>78225</v>
      </c>
      <c r="J691" s="3">
        <f t="shared" si="271"/>
        <v>78225</v>
      </c>
      <c r="K691" s="3">
        <f>IF($B$688=12,'payment summary to Trustee'!$AW691,('payment summary to Trustee'!$BD691-'CDE Intercept  '!$T691)/4)</f>
        <v>136893.75</v>
      </c>
      <c r="L691" s="3">
        <f>IF($B$688=12,'payment summary to Trustee'!$AW691,('payment summary to Trustee'!$BD691-'CDE Intercept  '!$T691)/4)</f>
        <v>136893.75</v>
      </c>
      <c r="M691" s="3">
        <f>IF($B$688=12,'payment summary to Trustee'!$AW691,('payment summary to Trustee'!$BD691-'CDE Intercept  '!$T691)/4)</f>
        <v>136893.75</v>
      </c>
      <c r="N691" s="3">
        <v>0</v>
      </c>
      <c r="O691" s="118">
        <f>IF($B$688=12,'payment summary to Trustee'!$AW691,('payment summary to Trustee'!$BD691-'CDE Intercept  '!$T691)/4)</f>
        <v>136893.75</v>
      </c>
      <c r="P691" s="3">
        <v>0</v>
      </c>
      <c r="Q691" s="3">
        <v>0</v>
      </c>
      <c r="R691" s="3">
        <f>SUM(F691:Q691)</f>
        <v>938716.66999999993</v>
      </c>
      <c r="T691" s="3">
        <f t="shared" si="270"/>
        <v>391141.67</v>
      </c>
      <c r="U691" s="94">
        <f>SUM(K691:Q691)</f>
        <v>547575</v>
      </c>
      <c r="V691" s="11">
        <f>SUM(T691:U691)-R691</f>
        <v>0</v>
      </c>
    </row>
    <row r="692" spans="1:22" ht="13.5" thickBot="1" x14ac:dyDescent="0.35">
      <c r="E692" s="13" t="s">
        <v>335</v>
      </c>
      <c r="F692" s="22">
        <f t="shared" ref="F692:R692" si="272">SUM(F689:F691)</f>
        <v>79947.09</v>
      </c>
      <c r="G692" s="22">
        <f t="shared" si="272"/>
        <v>79680.42</v>
      </c>
      <c r="H692" s="22">
        <f t="shared" si="272"/>
        <v>79680.42</v>
      </c>
      <c r="I692" s="22">
        <f t="shared" si="272"/>
        <v>79680.42</v>
      </c>
      <c r="J692" s="22">
        <f t="shared" si="272"/>
        <v>79680.42</v>
      </c>
      <c r="K692" s="22">
        <f t="shared" si="272"/>
        <v>139432.8175</v>
      </c>
      <c r="L692" s="22">
        <f t="shared" si="272"/>
        <v>139432.8175</v>
      </c>
      <c r="M692" s="22">
        <f t="shared" si="272"/>
        <v>139432.8175</v>
      </c>
      <c r="N692" s="22">
        <f t="shared" si="272"/>
        <v>0</v>
      </c>
      <c r="O692" s="119">
        <f t="shared" si="272"/>
        <v>139432.8175</v>
      </c>
      <c r="P692" s="22">
        <f t="shared" ref="P692" si="273">SUM(P689:P691)</f>
        <v>0</v>
      </c>
      <c r="Q692" s="22">
        <f t="shared" si="272"/>
        <v>0</v>
      </c>
      <c r="R692" s="22">
        <f t="shared" si="272"/>
        <v>956400.03999999992</v>
      </c>
      <c r="T692" s="39">
        <f>SUM(T689:T691)</f>
        <v>398668.76999999996</v>
      </c>
      <c r="U692" s="78">
        <f>SUM(U689:U691)</f>
        <v>557731.27</v>
      </c>
      <c r="V692" s="11">
        <f>SUM(T692:U692)-R692</f>
        <v>0</v>
      </c>
    </row>
    <row r="693" spans="1:22" x14ac:dyDescent="0.3">
      <c r="E693" s="15"/>
      <c r="O693" s="118"/>
    </row>
    <row r="694" spans="1:22" ht="15.5" x14ac:dyDescent="0.35">
      <c r="B694">
        <v>12</v>
      </c>
      <c r="C694" s="20">
        <f>+C688+1</f>
        <v>82</v>
      </c>
      <c r="D694" s="1" t="s">
        <v>14</v>
      </c>
      <c r="E694" s="25" t="s">
        <v>336</v>
      </c>
      <c r="O694" s="118"/>
    </row>
    <row r="695" spans="1:22" x14ac:dyDescent="0.3">
      <c r="B695">
        <v>12.1</v>
      </c>
      <c r="E695" s="8" t="s">
        <v>8</v>
      </c>
      <c r="F695" s="3">
        <v>640</v>
      </c>
      <c r="G695" s="3">
        <v>640</v>
      </c>
      <c r="H695" s="3">
        <v>640</v>
      </c>
      <c r="I695" s="3">
        <v>640</v>
      </c>
      <c r="J695" s="3">
        <v>640</v>
      </c>
      <c r="K695" s="3">
        <v>640</v>
      </c>
      <c r="L695" s="3">
        <v>640</v>
      </c>
      <c r="M695" s="3">
        <v>640</v>
      </c>
      <c r="N695" s="3">
        <v>640</v>
      </c>
      <c r="O695" s="118">
        <v>640</v>
      </c>
      <c r="P695" s="3">
        <v>640</v>
      </c>
      <c r="Q695" s="3">
        <v>640</v>
      </c>
      <c r="R695" s="3">
        <f>SUM(F695:Q695)</f>
        <v>7680</v>
      </c>
      <c r="T695" s="3">
        <f>SUM(F695:J695)</f>
        <v>3200</v>
      </c>
      <c r="U695" s="93">
        <f>SUM(K695:Q695)</f>
        <v>4480</v>
      </c>
      <c r="V695" s="11">
        <f>SUM(T695:U695)-R695</f>
        <v>0</v>
      </c>
    </row>
    <row r="696" spans="1:22" x14ac:dyDescent="0.3">
      <c r="B696">
        <v>12.2</v>
      </c>
      <c r="E696" s="8" t="s">
        <v>9</v>
      </c>
      <c r="F696" s="3">
        <v>250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118">
        <v>0</v>
      </c>
      <c r="P696" s="3">
        <v>0</v>
      </c>
      <c r="Q696" s="3">
        <v>0</v>
      </c>
      <c r="R696" s="3">
        <f>SUM(F696:Q696)</f>
        <v>250</v>
      </c>
      <c r="T696" s="3">
        <f t="shared" ref="T696:T697" si="274">SUM(F696:J696)</f>
        <v>250</v>
      </c>
      <c r="U696" s="93">
        <f>SUM(K696:Q696)</f>
        <v>0</v>
      </c>
      <c r="V696" s="11">
        <f>SUM(T696:U696)-R696</f>
        <v>0</v>
      </c>
    </row>
    <row r="697" spans="1:22" ht="13.5" thickBot="1" x14ac:dyDescent="0.35">
      <c r="A697" t="s">
        <v>337</v>
      </c>
      <c r="B697">
        <v>12.3</v>
      </c>
      <c r="E697" s="8" t="s">
        <v>10</v>
      </c>
      <c r="F697" s="3">
        <f>27083.33+25329.17</f>
        <v>52412.5</v>
      </c>
      <c r="G697" s="3">
        <f>27083.33+25329.17</f>
        <v>52412.5</v>
      </c>
      <c r="H697" s="3">
        <f t="shared" ref="H697:P697" si="275">27083.33+25329.17</f>
        <v>52412.5</v>
      </c>
      <c r="I697" s="3">
        <f t="shared" si="275"/>
        <v>52412.5</v>
      </c>
      <c r="J697" s="3">
        <f t="shared" si="275"/>
        <v>52412.5</v>
      </c>
      <c r="K697" s="3">
        <f>27083.33+25329.15</f>
        <v>52412.480000000003</v>
      </c>
      <c r="L697" s="3">
        <f t="shared" si="275"/>
        <v>52412.5</v>
      </c>
      <c r="M697" s="3">
        <f t="shared" si="275"/>
        <v>52412.5</v>
      </c>
      <c r="N697" s="3">
        <f t="shared" si="275"/>
        <v>52412.5</v>
      </c>
      <c r="O697" s="118">
        <f t="shared" si="275"/>
        <v>52412.5</v>
      </c>
      <c r="P697" s="3">
        <f t="shared" si="275"/>
        <v>52412.5</v>
      </c>
      <c r="Q697" s="3">
        <f>27083.37+25329.15</f>
        <v>52412.520000000004</v>
      </c>
      <c r="R697" s="3">
        <f>SUM(F697:Q697)</f>
        <v>628950</v>
      </c>
      <c r="T697" s="3">
        <f t="shared" si="274"/>
        <v>262062.5</v>
      </c>
      <c r="U697" s="94">
        <f>SUM(K697:Q697)</f>
        <v>366887.5</v>
      </c>
      <c r="V697" s="11">
        <f>SUM(T697:U697)-R697</f>
        <v>0</v>
      </c>
    </row>
    <row r="698" spans="1:22" ht="13.5" thickBot="1" x14ac:dyDescent="0.35">
      <c r="E698" s="13" t="s">
        <v>338</v>
      </c>
      <c r="F698" s="22">
        <f t="shared" ref="F698:R698" si="276">SUM(F695:F697)</f>
        <v>53302.5</v>
      </c>
      <c r="G698" s="22">
        <f t="shared" si="276"/>
        <v>53052.5</v>
      </c>
      <c r="H698" s="22">
        <f t="shared" si="276"/>
        <v>53052.5</v>
      </c>
      <c r="I698" s="22">
        <f t="shared" si="276"/>
        <v>53052.5</v>
      </c>
      <c r="J698" s="22">
        <f t="shared" si="276"/>
        <v>53052.5</v>
      </c>
      <c r="K698" s="22">
        <f t="shared" si="276"/>
        <v>53052.480000000003</v>
      </c>
      <c r="L698" s="22">
        <f t="shared" si="276"/>
        <v>53052.5</v>
      </c>
      <c r="M698" s="22">
        <f t="shared" si="276"/>
        <v>53052.5</v>
      </c>
      <c r="N698" s="22">
        <f t="shared" si="276"/>
        <v>53052.5</v>
      </c>
      <c r="O698" s="119">
        <f t="shared" si="276"/>
        <v>53052.5</v>
      </c>
      <c r="P698" s="22">
        <f t="shared" si="276"/>
        <v>53052.5</v>
      </c>
      <c r="Q698" s="22">
        <f t="shared" si="276"/>
        <v>53052.520000000004</v>
      </c>
      <c r="R698" s="22">
        <f t="shared" si="276"/>
        <v>636880</v>
      </c>
      <c r="T698" s="39">
        <f>SUM(T695:T697)</f>
        <v>265512.5</v>
      </c>
      <c r="U698" s="78">
        <f>SUM(U695:U697)</f>
        <v>371367.5</v>
      </c>
      <c r="V698" s="11">
        <f>SUM(T698:U698)-R698</f>
        <v>0</v>
      </c>
    </row>
    <row r="699" spans="1:22" x14ac:dyDescent="0.3">
      <c r="E699" s="15"/>
      <c r="O699" s="118"/>
    </row>
    <row r="700" spans="1:22" ht="15.5" x14ac:dyDescent="0.35">
      <c r="B700">
        <v>12</v>
      </c>
      <c r="C700" s="20">
        <f>+C694+1</f>
        <v>83</v>
      </c>
      <c r="D700" s="1" t="s">
        <v>14</v>
      </c>
      <c r="E700" s="25" t="s">
        <v>339</v>
      </c>
      <c r="O700" s="118"/>
    </row>
    <row r="701" spans="1:22" x14ac:dyDescent="0.3">
      <c r="B701">
        <v>12.1</v>
      </c>
      <c r="E701" s="8" t="s">
        <v>8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118">
        <v>0</v>
      </c>
      <c r="P701" s="3">
        <v>0</v>
      </c>
      <c r="Q701" s="3">
        <v>0</v>
      </c>
      <c r="R701" s="3">
        <f>SUM(F701:Q701)</f>
        <v>0</v>
      </c>
      <c r="T701" s="3">
        <f>SUM(F701:J701)</f>
        <v>0</v>
      </c>
      <c r="U701" s="93">
        <f>SUM(K701:Q701)</f>
        <v>0</v>
      </c>
      <c r="V701" s="11">
        <f>SUM(T701:U701)-R701</f>
        <v>0</v>
      </c>
    </row>
    <row r="702" spans="1:22" x14ac:dyDescent="0.3">
      <c r="B702">
        <v>12.2</v>
      </c>
      <c r="E702" s="8" t="s">
        <v>9</v>
      </c>
      <c r="F702" s="3">
        <v>250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118">
        <v>0</v>
      </c>
      <c r="P702" s="3">
        <v>0</v>
      </c>
      <c r="Q702" s="3">
        <v>0</v>
      </c>
      <c r="R702" s="3">
        <f>SUM(F702:Q702)</f>
        <v>250</v>
      </c>
      <c r="T702" s="3">
        <f t="shared" ref="T702:T703" si="277">SUM(F702:J702)</f>
        <v>250</v>
      </c>
      <c r="U702" s="93">
        <f>SUM(K702:Q702)</f>
        <v>0</v>
      </c>
      <c r="V702" s="11">
        <f>SUM(T702:U702)-R702</f>
        <v>0</v>
      </c>
    </row>
    <row r="703" spans="1:22" ht="13.5" thickBot="1" x14ac:dyDescent="0.35">
      <c r="A703" t="s">
        <v>340</v>
      </c>
      <c r="B703">
        <v>12.3</v>
      </c>
      <c r="E703" s="8" t="s">
        <v>10</v>
      </c>
      <c r="F703" s="3">
        <f>2661.09+93334.22</f>
        <v>95995.31</v>
      </c>
      <c r="G703" s="3">
        <f>2661.09+93334.22</f>
        <v>95995.31</v>
      </c>
      <c r="H703" s="3">
        <f t="shared" ref="H703:O703" si="278">2661.09+93334.22</f>
        <v>95995.31</v>
      </c>
      <c r="I703" s="3">
        <f t="shared" si="278"/>
        <v>95995.31</v>
      </c>
      <c r="J703" s="3">
        <f t="shared" si="278"/>
        <v>95995.31</v>
      </c>
      <c r="K703" s="3">
        <f t="shared" si="278"/>
        <v>95995.31</v>
      </c>
      <c r="L703" s="3">
        <f t="shared" si="278"/>
        <v>95995.31</v>
      </c>
      <c r="M703" s="3">
        <f t="shared" si="278"/>
        <v>95995.31</v>
      </c>
      <c r="N703" s="3">
        <f t="shared" si="278"/>
        <v>95995.31</v>
      </c>
      <c r="O703" s="118">
        <f t="shared" si="278"/>
        <v>95995.31</v>
      </c>
      <c r="P703" s="3">
        <f>2661.01+93334.14</f>
        <v>95995.15</v>
      </c>
      <c r="Q703" s="3">
        <f>2820.75+93174.55</f>
        <v>95995.3</v>
      </c>
      <c r="R703" s="3">
        <f>SUM(F703:Q703)</f>
        <v>1151943.55</v>
      </c>
      <c r="T703" s="3">
        <f t="shared" si="277"/>
        <v>479976.55</v>
      </c>
      <c r="U703" s="94">
        <f>SUM(K703:Q703)</f>
        <v>671967</v>
      </c>
      <c r="V703" s="11">
        <f>SUM(T703:U703)-R703</f>
        <v>0</v>
      </c>
    </row>
    <row r="704" spans="1:22" ht="13.5" thickBot="1" x14ac:dyDescent="0.35">
      <c r="E704" s="13" t="s">
        <v>341</v>
      </c>
      <c r="F704" s="22">
        <f t="shared" ref="F704:R704" si="279">SUM(F701:F703)</f>
        <v>96245.31</v>
      </c>
      <c r="G704" s="22">
        <f t="shared" si="279"/>
        <v>95995.31</v>
      </c>
      <c r="H704" s="22">
        <f t="shared" si="279"/>
        <v>95995.31</v>
      </c>
      <c r="I704" s="22">
        <f t="shared" si="279"/>
        <v>95995.31</v>
      </c>
      <c r="J704" s="22">
        <f t="shared" si="279"/>
        <v>95995.31</v>
      </c>
      <c r="K704" s="22">
        <f t="shared" si="279"/>
        <v>95995.31</v>
      </c>
      <c r="L704" s="22">
        <f t="shared" si="279"/>
        <v>95995.31</v>
      </c>
      <c r="M704" s="22">
        <f t="shared" si="279"/>
        <v>95995.31</v>
      </c>
      <c r="N704" s="22">
        <f t="shared" si="279"/>
        <v>95995.31</v>
      </c>
      <c r="O704" s="119">
        <f t="shared" si="279"/>
        <v>95995.31</v>
      </c>
      <c r="P704" s="22">
        <f t="shared" si="279"/>
        <v>95995.15</v>
      </c>
      <c r="Q704" s="22">
        <f t="shared" si="279"/>
        <v>95995.3</v>
      </c>
      <c r="R704" s="22">
        <f t="shared" si="279"/>
        <v>1152193.55</v>
      </c>
      <c r="T704" s="39">
        <f>SUM(T701:T703)</f>
        <v>480226.55</v>
      </c>
      <c r="U704" s="78">
        <f>SUM(U701:U703)</f>
        <v>671967</v>
      </c>
      <c r="V704" s="11">
        <f>SUM(T704:U704)-R704</f>
        <v>0</v>
      </c>
    </row>
    <row r="705" spans="1:22" x14ac:dyDescent="0.3">
      <c r="E705" s="15"/>
      <c r="O705" s="118"/>
    </row>
    <row r="706" spans="1:22" ht="15.5" x14ac:dyDescent="0.35">
      <c r="B706">
        <v>9</v>
      </c>
      <c r="C706" s="20">
        <f>+C700+1</f>
        <v>84</v>
      </c>
      <c r="D706" s="1" t="s">
        <v>14</v>
      </c>
      <c r="E706" s="25" t="s">
        <v>342</v>
      </c>
      <c r="O706" s="118"/>
    </row>
    <row r="707" spans="1:22" x14ac:dyDescent="0.3">
      <c r="B707">
        <v>9.1</v>
      </c>
      <c r="E707" s="8" t="s">
        <v>8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f>IF($B$706=12,'payment summary to Trustee'!$AW707,('payment summary to Trustee'!$BD707-'CDE Intercept  '!$T707)/4)</f>
        <v>0</v>
      </c>
      <c r="L707" s="3">
        <f>IF($B$706=12,'payment summary to Trustee'!$AW707,('payment summary to Trustee'!$BD707-'CDE Intercept  '!$T707)/4)</f>
        <v>0</v>
      </c>
      <c r="M707" s="3">
        <f>IF($B$706=12,'payment summary to Trustee'!$AW707,('payment summary to Trustee'!$BD707-'CDE Intercept  '!$T707)/4)</f>
        <v>0</v>
      </c>
      <c r="N707" s="3">
        <v>0</v>
      </c>
      <c r="O707" s="118">
        <f>IF($B$706=12,'payment summary to Trustee'!$AW707,('payment summary to Trustee'!$BD707-'CDE Intercept  '!$T707)/4)</f>
        <v>0</v>
      </c>
      <c r="P707" s="3">
        <v>0</v>
      </c>
      <c r="Q707" s="3">
        <v>0</v>
      </c>
      <c r="R707" s="3">
        <f>SUM(F707:Q707)</f>
        <v>0</v>
      </c>
      <c r="T707" s="3">
        <f>SUM(F707:J707)</f>
        <v>0</v>
      </c>
      <c r="U707" s="93">
        <f>SUM(K707:Q707)</f>
        <v>0</v>
      </c>
      <c r="V707" s="11">
        <f>SUM(T707:U707)-R707</f>
        <v>0</v>
      </c>
    </row>
    <row r="708" spans="1:22" x14ac:dyDescent="0.3">
      <c r="B708">
        <v>9.1999999999999993</v>
      </c>
      <c r="E708" s="8" t="s">
        <v>9</v>
      </c>
      <c r="F708" s="3">
        <v>250</v>
      </c>
      <c r="G708" s="3">
        <v>0</v>
      </c>
      <c r="H708" s="3">
        <v>0</v>
      </c>
      <c r="I708" s="3">
        <v>0</v>
      </c>
      <c r="J708" s="3">
        <v>0</v>
      </c>
      <c r="K708" s="3">
        <f>IF($B$706=12,'payment summary to Trustee'!$AW708,('payment summary to Trustee'!$BD708-'CDE Intercept  '!$T708)/4)</f>
        <v>0</v>
      </c>
      <c r="L708" s="3">
        <f>IF($B$706=12,'payment summary to Trustee'!$AW708,('payment summary to Trustee'!$BD708-'CDE Intercept  '!$T708)/4)</f>
        <v>0</v>
      </c>
      <c r="M708" s="3">
        <f>IF($B$706=12,'payment summary to Trustee'!$AW708,('payment summary to Trustee'!$BD708-'CDE Intercept  '!$T708)/4)</f>
        <v>0</v>
      </c>
      <c r="N708" s="3">
        <v>0</v>
      </c>
      <c r="O708" s="118">
        <f>IF($B$706=12,'payment summary to Trustee'!$AW708,('payment summary to Trustee'!$BD708-'CDE Intercept  '!$T708)/4)</f>
        <v>0</v>
      </c>
      <c r="P708" s="3">
        <v>0</v>
      </c>
      <c r="Q708" s="3">
        <v>0</v>
      </c>
      <c r="R708" s="3">
        <f>SUM(F708:Q708)</f>
        <v>250</v>
      </c>
      <c r="T708" s="3">
        <f t="shared" ref="T708:T709" si="280">SUM(F708:J708)</f>
        <v>250</v>
      </c>
      <c r="U708" s="93">
        <f>SUM(K708:Q708)</f>
        <v>0</v>
      </c>
      <c r="V708" s="11">
        <f>SUM(T708:U708)-R708</f>
        <v>0</v>
      </c>
    </row>
    <row r="709" spans="1:22" ht="13.5" thickBot="1" x14ac:dyDescent="0.35">
      <c r="A709" t="s">
        <v>343</v>
      </c>
      <c r="B709">
        <v>9.3000000000000007</v>
      </c>
      <c r="E709" s="8" t="s">
        <v>10</v>
      </c>
      <c r="F709" s="3">
        <f>23333.34+76907.3</f>
        <v>100240.64</v>
      </c>
      <c r="G709" s="3">
        <f t="shared" ref="G709:J709" si="281">23333.34+76907.3</f>
        <v>100240.64</v>
      </c>
      <c r="H709" s="3">
        <f t="shared" si="281"/>
        <v>100240.64</v>
      </c>
      <c r="I709" s="3">
        <f t="shared" si="281"/>
        <v>100240.64</v>
      </c>
      <c r="J709" s="3">
        <f t="shared" si="281"/>
        <v>100240.64</v>
      </c>
      <c r="K709" s="3">
        <f>IF($B$706=12,'payment summary to Trustee'!$AW709,('payment summary to Trustee'!$BD709-'CDE Intercept  '!$T709)/4)</f>
        <v>175421.07500000001</v>
      </c>
      <c r="L709" s="3">
        <f>IF($B$706=12,'payment summary to Trustee'!$AW709,('payment summary to Trustee'!$BD709-'CDE Intercept  '!$T709)/4)</f>
        <v>175421.07500000001</v>
      </c>
      <c r="M709" s="3">
        <f>IF($B$706=12,'payment summary to Trustee'!$AW709,('payment summary to Trustee'!$BD709-'CDE Intercept  '!$T709)/4)</f>
        <v>175421.07500000001</v>
      </c>
      <c r="N709" s="3">
        <v>0</v>
      </c>
      <c r="O709" s="118">
        <f>IF($B$706=12,'payment summary to Trustee'!$AW709,('payment summary to Trustee'!$BD709-'CDE Intercept  '!$T709)/4)</f>
        <v>175421.07500000001</v>
      </c>
      <c r="P709" s="3">
        <v>0</v>
      </c>
      <c r="Q709" s="3">
        <v>0</v>
      </c>
      <c r="R709" s="3">
        <f>SUM(F709:Q709)</f>
        <v>1202887.5</v>
      </c>
      <c r="T709" s="3">
        <f t="shared" si="280"/>
        <v>501203.20000000001</v>
      </c>
      <c r="U709" s="94">
        <f>SUM(K709:Q709)</f>
        <v>701684.3</v>
      </c>
      <c r="V709" s="11">
        <f>SUM(T709:U709)-R709</f>
        <v>0</v>
      </c>
    </row>
    <row r="710" spans="1:22" ht="13.5" thickBot="1" x14ac:dyDescent="0.35">
      <c r="E710" s="13" t="s">
        <v>226</v>
      </c>
      <c r="F710" s="22">
        <f t="shared" ref="F710:R710" si="282">SUM(F707:F709)</f>
        <v>100490.64</v>
      </c>
      <c r="G710" s="22">
        <f t="shared" si="282"/>
        <v>100240.64</v>
      </c>
      <c r="H710" s="22">
        <f t="shared" si="282"/>
        <v>100240.64</v>
      </c>
      <c r="I710" s="22">
        <f t="shared" si="282"/>
        <v>100240.64</v>
      </c>
      <c r="J710" s="22">
        <f t="shared" si="282"/>
        <v>100240.64</v>
      </c>
      <c r="K710" s="22">
        <f t="shared" si="282"/>
        <v>175421.07500000001</v>
      </c>
      <c r="L710" s="22">
        <f t="shared" si="282"/>
        <v>175421.07500000001</v>
      </c>
      <c r="M710" s="22">
        <f t="shared" si="282"/>
        <v>175421.07500000001</v>
      </c>
      <c r="N710" s="22">
        <f t="shared" si="282"/>
        <v>0</v>
      </c>
      <c r="O710" s="119">
        <f t="shared" si="282"/>
        <v>175421.07500000001</v>
      </c>
      <c r="P710" s="22">
        <f t="shared" ref="P710" si="283">SUM(P707:P709)</f>
        <v>0</v>
      </c>
      <c r="Q710" s="22">
        <f t="shared" si="282"/>
        <v>0</v>
      </c>
      <c r="R710" s="22">
        <f t="shared" si="282"/>
        <v>1203137.5</v>
      </c>
      <c r="T710" s="39">
        <f>SUM(T707:T709)</f>
        <v>501453.2</v>
      </c>
      <c r="U710" s="78">
        <f>SUM(U707:U709)</f>
        <v>701684.3</v>
      </c>
      <c r="V710" s="11">
        <f>SUM(T710:U710)-R710</f>
        <v>0</v>
      </c>
    </row>
    <row r="711" spans="1:22" x14ac:dyDescent="0.3">
      <c r="E711" s="15"/>
      <c r="O711" s="118"/>
    </row>
    <row r="712" spans="1:22" ht="15.5" x14ac:dyDescent="0.35">
      <c r="B712">
        <v>9</v>
      </c>
      <c r="C712" s="20">
        <f>+C706+1</f>
        <v>85</v>
      </c>
      <c r="D712" s="1" t="s">
        <v>14</v>
      </c>
      <c r="E712" s="25" t="s">
        <v>344</v>
      </c>
      <c r="O712" s="118"/>
    </row>
    <row r="713" spans="1:22" x14ac:dyDescent="0.3">
      <c r="B713">
        <v>9.1</v>
      </c>
      <c r="E713" s="8" t="s">
        <v>8</v>
      </c>
      <c r="F713" s="3">
        <v>612.91999999999996</v>
      </c>
      <c r="G713" s="3">
        <v>612.91999999999996</v>
      </c>
      <c r="H713" s="3">
        <v>612.91999999999996</v>
      </c>
      <c r="I713" s="3">
        <v>600.41999999999996</v>
      </c>
      <c r="J713" s="3">
        <v>600.41999999999996</v>
      </c>
      <c r="K713" s="3">
        <f>IF($B$712=12,'payment summary to Trustee'!$AW713,('payment summary to Trustee'!$BD713-'CDE Intercept  '!$T713)/4)</f>
        <v>1050.7350000000001</v>
      </c>
      <c r="L713" s="3">
        <f>IF($B$712=12,'payment summary to Trustee'!$AW713,('payment summary to Trustee'!$BD713-'CDE Intercept  '!$T713)/4)</f>
        <v>1050.7350000000001</v>
      </c>
      <c r="M713" s="3">
        <f>IF($B$712=12,'payment summary to Trustee'!$AW713,('payment summary to Trustee'!$BD713-'CDE Intercept  '!$T713)/4)</f>
        <v>1050.7350000000001</v>
      </c>
      <c r="N713" s="3">
        <v>0</v>
      </c>
      <c r="O713" s="118">
        <f>IF($B$712=12,'payment summary to Trustee'!$AW713,('payment summary to Trustee'!$BD713-'CDE Intercept  '!$T713)/4)</f>
        <v>1050.7350000000001</v>
      </c>
      <c r="P713" s="3">
        <v>0</v>
      </c>
      <c r="Q713" s="3">
        <v>0</v>
      </c>
      <c r="R713" s="3">
        <f>SUM(F713:Q713)</f>
        <v>7242.5400000000009</v>
      </c>
      <c r="T713" s="3">
        <f>SUM(F713:J713)</f>
        <v>3039.6</v>
      </c>
      <c r="U713" s="93">
        <f>SUM(K713:Q713)</f>
        <v>4202.9400000000005</v>
      </c>
      <c r="V713" s="11">
        <f>SUM(T713:U713)-R713</f>
        <v>0</v>
      </c>
    </row>
    <row r="714" spans="1:22" x14ac:dyDescent="0.3">
      <c r="B714">
        <v>9.1999999999999993</v>
      </c>
      <c r="E714" s="8" t="s">
        <v>9</v>
      </c>
      <c r="F714" s="3">
        <v>250</v>
      </c>
      <c r="G714" s="3">
        <v>0</v>
      </c>
      <c r="H714" s="3">
        <v>0</v>
      </c>
      <c r="I714" s="3">
        <v>0</v>
      </c>
      <c r="J714" s="3">
        <v>0</v>
      </c>
      <c r="K714" s="3">
        <f>IF($B$712=12,'payment summary to Trustee'!$AW714,('payment summary to Trustee'!$BD714-'CDE Intercept  '!$T714)/4)</f>
        <v>0</v>
      </c>
      <c r="L714" s="3">
        <f>IF($B$712=12,'payment summary to Trustee'!$AW714,('payment summary to Trustee'!$BD714-'CDE Intercept  '!$T714)/4)</f>
        <v>0</v>
      </c>
      <c r="M714" s="3">
        <f>IF($B$712=12,'payment summary to Trustee'!$AW714,('payment summary to Trustee'!$BD714-'CDE Intercept  '!$T714)/4)</f>
        <v>0</v>
      </c>
      <c r="N714" s="3">
        <v>0</v>
      </c>
      <c r="O714" s="118">
        <f>IF($B$712=12,'payment summary to Trustee'!$AW714,('payment summary to Trustee'!$BD714-'CDE Intercept  '!$T714)/4)</f>
        <v>0</v>
      </c>
      <c r="P714" s="3">
        <v>0</v>
      </c>
      <c r="Q714" s="3">
        <v>0</v>
      </c>
      <c r="R714" s="3">
        <f>SUM(F714:Q714)</f>
        <v>250</v>
      </c>
      <c r="T714" s="3">
        <f t="shared" ref="T714:T715" si="284">SUM(F714:J714)</f>
        <v>250</v>
      </c>
      <c r="U714" s="93">
        <f>SUM(K714:Q714)</f>
        <v>0</v>
      </c>
      <c r="V714" s="11">
        <f>SUM(T714:U714)-R714</f>
        <v>0</v>
      </c>
    </row>
    <row r="715" spans="1:22" ht="13.5" thickBot="1" x14ac:dyDescent="0.35">
      <c r="A715" t="s">
        <v>345</v>
      </c>
      <c r="B715">
        <v>9.3000000000000007</v>
      </c>
      <c r="E715" s="8" t="s">
        <v>10</v>
      </c>
      <c r="F715" s="3">
        <f>12916.67+21100</f>
        <v>34016.67</v>
      </c>
      <c r="G715" s="3">
        <f>12916.67+21100</f>
        <v>34016.67</v>
      </c>
      <c r="H715" s="3">
        <f>12916.67+21100</f>
        <v>34016.67</v>
      </c>
      <c r="I715" s="3">
        <f t="shared" ref="I715:J715" si="285">12916.67+21100</f>
        <v>34016.67</v>
      </c>
      <c r="J715" s="3">
        <f t="shared" si="285"/>
        <v>34016.67</v>
      </c>
      <c r="K715" s="3">
        <f>IF($B$712=12,'payment summary to Trustee'!$AW715,('payment summary to Trustee'!$BD715-'CDE Intercept  '!$T715)/4)</f>
        <v>59529.162499999977</v>
      </c>
      <c r="L715" s="3">
        <f>IF($B$712=12,'payment summary to Trustee'!$AW715,('payment summary to Trustee'!$BD715-'CDE Intercept  '!$T715)/4)</f>
        <v>59529.162499999977</v>
      </c>
      <c r="M715" s="3">
        <f>IF($B$712=12,'payment summary to Trustee'!$AW715,('payment summary to Trustee'!$BD715-'CDE Intercept  '!$T715)/4)</f>
        <v>59529.162499999977</v>
      </c>
      <c r="N715" s="3">
        <v>0</v>
      </c>
      <c r="O715" s="118">
        <f>IF($B$712=12,'payment summary to Trustee'!$AW715,('payment summary to Trustee'!$BD715-'CDE Intercept  '!$T715)/4)</f>
        <v>59529.162499999977</v>
      </c>
      <c r="P715" s="3">
        <v>0</v>
      </c>
      <c r="Q715" s="3">
        <v>0</v>
      </c>
      <c r="R715" s="3">
        <f>SUM(F715:Q715)</f>
        <v>408199.99999999988</v>
      </c>
      <c r="T715" s="3">
        <f t="shared" si="284"/>
        <v>170083.34999999998</v>
      </c>
      <c r="U715" s="94">
        <f>SUM(K715:Q715)</f>
        <v>238116.64999999991</v>
      </c>
      <c r="V715" s="11">
        <f>SUM(T715:U715)-R715</f>
        <v>0</v>
      </c>
    </row>
    <row r="716" spans="1:22" ht="13.5" thickBot="1" x14ac:dyDescent="0.35">
      <c r="E716" s="13" t="s">
        <v>103</v>
      </c>
      <c r="F716" s="22">
        <f t="shared" ref="F716:R716" si="286">SUM(F713:F715)</f>
        <v>34879.589999999997</v>
      </c>
      <c r="G716" s="22">
        <f t="shared" si="286"/>
        <v>34629.589999999997</v>
      </c>
      <c r="H716" s="22">
        <f t="shared" si="286"/>
        <v>34629.589999999997</v>
      </c>
      <c r="I716" s="22">
        <f t="shared" si="286"/>
        <v>34617.089999999997</v>
      </c>
      <c r="J716" s="22">
        <f t="shared" si="286"/>
        <v>34617.089999999997</v>
      </c>
      <c r="K716" s="22">
        <f t="shared" si="286"/>
        <v>60579.897499999977</v>
      </c>
      <c r="L716" s="22">
        <f t="shared" si="286"/>
        <v>60579.897499999977</v>
      </c>
      <c r="M716" s="22">
        <f t="shared" si="286"/>
        <v>60579.897499999977</v>
      </c>
      <c r="N716" s="22">
        <f t="shared" si="286"/>
        <v>0</v>
      </c>
      <c r="O716" s="119">
        <f t="shared" si="286"/>
        <v>60579.897499999977</v>
      </c>
      <c r="P716" s="22">
        <f t="shared" ref="P716" si="287">SUM(P713:P715)</f>
        <v>0</v>
      </c>
      <c r="Q716" s="22">
        <f t="shared" si="286"/>
        <v>0</v>
      </c>
      <c r="R716" s="22">
        <f t="shared" si="286"/>
        <v>415692.53999999986</v>
      </c>
      <c r="T716" s="39">
        <f>SUM(T713:T715)</f>
        <v>173372.94999999998</v>
      </c>
      <c r="U716" s="78">
        <f>SUM(U713:U715)</f>
        <v>242319.58999999991</v>
      </c>
      <c r="V716" s="11">
        <f>SUM(T716:U716)-R716</f>
        <v>0</v>
      </c>
    </row>
    <row r="717" spans="1:22" x14ac:dyDescent="0.3">
      <c r="E717" s="15"/>
      <c r="O717" s="118"/>
    </row>
    <row r="718" spans="1:22" ht="15.5" x14ac:dyDescent="0.35">
      <c r="B718">
        <v>9</v>
      </c>
      <c r="C718" s="20">
        <f>+C712+1</f>
        <v>86</v>
      </c>
      <c r="D718" s="1" t="s">
        <v>14</v>
      </c>
      <c r="E718" s="25" t="s">
        <v>346</v>
      </c>
      <c r="O718" s="118"/>
    </row>
    <row r="719" spans="1:22" x14ac:dyDescent="0.3">
      <c r="B719">
        <v>9.1</v>
      </c>
      <c r="E719" s="8" t="s">
        <v>8</v>
      </c>
      <c r="F719" s="3">
        <v>2372.08</v>
      </c>
      <c r="G719" s="3">
        <v>2372.08</v>
      </c>
      <c r="H719" s="3">
        <v>2372.08</v>
      </c>
      <c r="I719" s="3">
        <v>2305.42</v>
      </c>
      <c r="J719" s="3">
        <v>2305.42</v>
      </c>
      <c r="K719" s="3">
        <f>IF($B$718=12,'payment summary to Trustee'!$AW719,('payment summary to Trustee'!$BD719-'CDE Intercept  '!$T719)/4)</f>
        <v>4034.4849999999992</v>
      </c>
      <c r="L719" s="3">
        <f>IF($B$718=12,'payment summary to Trustee'!$AW719,('payment summary to Trustee'!$BD719-'CDE Intercept  '!$T719)/4)</f>
        <v>4034.4849999999992</v>
      </c>
      <c r="M719" s="3">
        <f>IF($B$718=12,'payment summary to Trustee'!$AW719,('payment summary to Trustee'!$BD719-'CDE Intercept  '!$T719)/4)</f>
        <v>4034.4849999999992</v>
      </c>
      <c r="N719" s="3">
        <v>0</v>
      </c>
      <c r="O719" s="118">
        <f>IF($B$718=12,'payment summary to Trustee'!$AW719,('payment summary to Trustee'!$BD719-'CDE Intercept  '!$T719)/4)</f>
        <v>4034.4849999999992</v>
      </c>
      <c r="P719" s="3">
        <v>0</v>
      </c>
      <c r="Q719" s="3">
        <v>0</v>
      </c>
      <c r="R719" s="3">
        <f>SUM(F719:Q719)</f>
        <v>27865.02</v>
      </c>
      <c r="T719" s="3">
        <f>SUM(F719:J719)</f>
        <v>11727.08</v>
      </c>
      <c r="U719" s="93">
        <f>SUM(K719:Q719)</f>
        <v>16137.939999999997</v>
      </c>
      <c r="V719" s="11">
        <f>SUM(T719:U719)-R719</f>
        <v>0</v>
      </c>
    </row>
    <row r="720" spans="1:22" x14ac:dyDescent="0.3">
      <c r="B720">
        <v>9.1999999999999993</v>
      </c>
      <c r="E720" s="8" t="s">
        <v>9</v>
      </c>
      <c r="F720" s="3">
        <v>250</v>
      </c>
      <c r="G720" s="3">
        <v>0</v>
      </c>
      <c r="H720" s="3">
        <v>0</v>
      </c>
      <c r="I720" s="3">
        <v>0</v>
      </c>
      <c r="J720" s="3">
        <v>0</v>
      </c>
      <c r="K720" s="3">
        <f>IF($B$718=12,'payment summary to Trustee'!$AW720,('payment summary to Trustee'!$BD720-'CDE Intercept  '!$T720)/4)</f>
        <v>0</v>
      </c>
      <c r="L720" s="3">
        <f>IF($B$718=12,'payment summary to Trustee'!$AW720,('payment summary to Trustee'!$BD720-'CDE Intercept  '!$T720)/4)</f>
        <v>0</v>
      </c>
      <c r="M720" s="3">
        <f>IF($B$718=12,'payment summary to Trustee'!$AW720,('payment summary to Trustee'!$BD720-'CDE Intercept  '!$T720)/4)</f>
        <v>0</v>
      </c>
      <c r="N720" s="3">
        <v>0</v>
      </c>
      <c r="O720" s="118">
        <f>IF($B$718=12,'payment summary to Trustee'!$AW720,('payment summary to Trustee'!$BD720-'CDE Intercept  '!$T720)/4)</f>
        <v>0</v>
      </c>
      <c r="P720" s="3">
        <v>0</v>
      </c>
      <c r="Q720" s="3">
        <v>0</v>
      </c>
      <c r="R720" s="3">
        <f>SUM(F720:Q720)</f>
        <v>250</v>
      </c>
      <c r="T720" s="3">
        <f t="shared" ref="T720:T721" si="288">SUM(F720:J720)</f>
        <v>250</v>
      </c>
      <c r="U720" s="93">
        <f>SUM(K720:Q720)</f>
        <v>0</v>
      </c>
      <c r="V720" s="11">
        <f>SUM(T720:U720)-R720</f>
        <v>0</v>
      </c>
    </row>
    <row r="721" spans="1:22" ht="13.5" thickBot="1" x14ac:dyDescent="0.35">
      <c r="A721" t="s">
        <v>347</v>
      </c>
      <c r="B721">
        <v>9.3000000000000007</v>
      </c>
      <c r="E721" s="8" t="s">
        <v>10</v>
      </c>
      <c r="F721" s="3">
        <f>68750+76912.16</f>
        <v>145662.16</v>
      </c>
      <c r="G721" s="3">
        <f t="shared" ref="G721:J721" si="289">68750+76912.16</f>
        <v>145662.16</v>
      </c>
      <c r="H721" s="3">
        <f t="shared" si="289"/>
        <v>145662.16</v>
      </c>
      <c r="I721" s="3">
        <f t="shared" si="289"/>
        <v>145662.16</v>
      </c>
      <c r="J721" s="3">
        <f t="shared" si="289"/>
        <v>145662.16</v>
      </c>
      <c r="K721" s="3">
        <f>IF($B$718=12,'payment summary to Trustee'!$AW721,('payment summary to Trustee'!$BD721-'CDE Intercept  '!$T721)/4)</f>
        <v>254845.41249999992</v>
      </c>
      <c r="L721" s="3">
        <f>IF($B$718=12,'payment summary to Trustee'!$AW721,('payment summary to Trustee'!$BD721-'CDE Intercept  '!$T721)/4)</f>
        <v>254845.41249999992</v>
      </c>
      <c r="M721" s="3">
        <f>IF($B$718=12,'payment summary to Trustee'!$AW721,('payment summary to Trustee'!$BD721-'CDE Intercept  '!$T721)/4)</f>
        <v>254845.41249999992</v>
      </c>
      <c r="N721" s="3">
        <v>0</v>
      </c>
      <c r="O721" s="118">
        <f>IF($B$718=12,'payment summary to Trustee'!$AW721,('payment summary to Trustee'!$BD721-'CDE Intercept  '!$T721)/4)</f>
        <v>254845.41249999992</v>
      </c>
      <c r="P721" s="3">
        <v>0</v>
      </c>
      <c r="Q721" s="3">
        <v>0</v>
      </c>
      <c r="R721" s="3">
        <f>SUM(F721:Q721)</f>
        <v>1747692.4499999995</v>
      </c>
      <c r="T721" s="3">
        <f t="shared" si="288"/>
        <v>728310.8</v>
      </c>
      <c r="U721" s="94">
        <f>SUM(K721:Q721)</f>
        <v>1019381.6499999997</v>
      </c>
      <c r="V721" s="11">
        <f>SUM(T721:U721)-R721</f>
        <v>0</v>
      </c>
    </row>
    <row r="722" spans="1:22" ht="13.5" thickBot="1" x14ac:dyDescent="0.35">
      <c r="E722" s="13" t="s">
        <v>132</v>
      </c>
      <c r="F722" s="22">
        <f t="shared" ref="F722:R722" si="290">SUM(F719:F721)</f>
        <v>148284.24</v>
      </c>
      <c r="G722" s="22">
        <f t="shared" si="290"/>
        <v>148034.23999999999</v>
      </c>
      <c r="H722" s="22">
        <f t="shared" si="290"/>
        <v>148034.23999999999</v>
      </c>
      <c r="I722" s="22">
        <f t="shared" si="290"/>
        <v>147967.58000000002</v>
      </c>
      <c r="J722" s="22">
        <f t="shared" si="290"/>
        <v>147967.58000000002</v>
      </c>
      <c r="K722" s="22">
        <f t="shared" si="290"/>
        <v>258879.8974999999</v>
      </c>
      <c r="L722" s="22">
        <f t="shared" si="290"/>
        <v>258879.8974999999</v>
      </c>
      <c r="M722" s="22">
        <f t="shared" si="290"/>
        <v>258879.8974999999</v>
      </c>
      <c r="N722" s="22">
        <f t="shared" si="290"/>
        <v>0</v>
      </c>
      <c r="O722" s="119">
        <f t="shared" si="290"/>
        <v>258879.8974999999</v>
      </c>
      <c r="P722" s="22">
        <f t="shared" ref="P722" si="291">SUM(P719:P721)</f>
        <v>0</v>
      </c>
      <c r="Q722" s="22">
        <f t="shared" si="290"/>
        <v>0</v>
      </c>
      <c r="R722" s="22">
        <f t="shared" si="290"/>
        <v>1775807.4699999995</v>
      </c>
      <c r="T722" s="39">
        <f>SUM(T719:T721)</f>
        <v>740287.88</v>
      </c>
      <c r="U722" s="78">
        <f>SUM(U719:U721)</f>
        <v>1035519.5899999996</v>
      </c>
      <c r="V722" s="11">
        <f>SUM(T722:U722)-R722</f>
        <v>0</v>
      </c>
    </row>
    <row r="723" spans="1:22" x14ac:dyDescent="0.3">
      <c r="E723" s="15"/>
      <c r="O723" s="118"/>
    </row>
    <row r="724" spans="1:22" ht="15.5" x14ac:dyDescent="0.35">
      <c r="B724">
        <v>9</v>
      </c>
      <c r="C724" s="20">
        <f>+C718+1</f>
        <v>87</v>
      </c>
      <c r="D724" s="1" t="s">
        <v>14</v>
      </c>
      <c r="E724" s="25" t="s">
        <v>348</v>
      </c>
      <c r="O724" s="118"/>
    </row>
    <row r="725" spans="1:22" x14ac:dyDescent="0.3">
      <c r="B725">
        <v>9.1</v>
      </c>
      <c r="E725" s="8" t="s">
        <v>8</v>
      </c>
      <c r="F725" s="3">
        <v>1178.3399999999999</v>
      </c>
      <c r="G725" s="3">
        <v>1178.26</v>
      </c>
      <c r="H725" s="3">
        <v>1144.17</v>
      </c>
      <c r="I725" s="3">
        <v>1144.17</v>
      </c>
      <c r="J725" s="3">
        <v>1144.17</v>
      </c>
      <c r="K725" s="3">
        <f>IF($B$724=12,'payment summary to Trustee'!$AW725,('payment summary to Trustee'!$BD725-'CDE Intercept  '!$T725)/4)</f>
        <v>2002.2975000000001</v>
      </c>
      <c r="L725" s="3">
        <f>IF($B$724=12,'payment summary to Trustee'!$AW725,('payment summary to Trustee'!$BD725-'CDE Intercept  '!$T725)/4)</f>
        <v>2002.2975000000001</v>
      </c>
      <c r="M725" s="3">
        <f>IF($B$724=12,'payment summary to Trustee'!$AW725,('payment summary to Trustee'!$BD725-'CDE Intercept  '!$T725)/4)</f>
        <v>2002.2975000000001</v>
      </c>
      <c r="N725" s="3">
        <v>0</v>
      </c>
      <c r="O725" s="118">
        <f>IF($B$724=12,'payment summary to Trustee'!$AW725,('payment summary to Trustee'!$BD725-'CDE Intercept  '!$T725)/4)</f>
        <v>2002.2975000000001</v>
      </c>
      <c r="P725" s="3">
        <v>0</v>
      </c>
      <c r="Q725" s="3">
        <v>0</v>
      </c>
      <c r="R725" s="3">
        <f>SUM(F725:Q725)</f>
        <v>13798.300000000003</v>
      </c>
      <c r="T725" s="3">
        <f>SUM(F725:J725)</f>
        <v>5789.1100000000006</v>
      </c>
      <c r="U725" s="93">
        <f>SUM(K725:Q725)</f>
        <v>8009.1900000000005</v>
      </c>
      <c r="V725" s="11">
        <f>SUM(T725:U725)-R725</f>
        <v>0</v>
      </c>
    </row>
    <row r="726" spans="1:22" x14ac:dyDescent="0.3">
      <c r="B726">
        <v>9.1999999999999993</v>
      </c>
      <c r="E726" s="8" t="s">
        <v>9</v>
      </c>
      <c r="F726" s="3">
        <v>250</v>
      </c>
      <c r="G726" s="3">
        <v>0</v>
      </c>
      <c r="H726" s="3">
        <v>0</v>
      </c>
      <c r="I726" s="3">
        <v>0</v>
      </c>
      <c r="J726" s="3">
        <v>0</v>
      </c>
      <c r="K726" s="3">
        <f>IF($B$724=12,'payment summary to Trustee'!$AW726,('payment summary to Trustee'!$BD726-'CDE Intercept  '!$T726)/4)</f>
        <v>0</v>
      </c>
      <c r="L726" s="3">
        <f>IF($B$724=12,'payment summary to Trustee'!$AW726,('payment summary to Trustee'!$BD726-'CDE Intercept  '!$T726)/4)</f>
        <v>0</v>
      </c>
      <c r="M726" s="3">
        <f>IF($B$724=12,'payment summary to Trustee'!$AW726,('payment summary to Trustee'!$BD726-'CDE Intercept  '!$T726)/4)</f>
        <v>0</v>
      </c>
      <c r="N726" s="3">
        <v>0</v>
      </c>
      <c r="O726" s="118">
        <f>IF($B$724=12,'payment summary to Trustee'!$AW726,('payment summary to Trustee'!$BD726-'CDE Intercept  '!$T726)/4)</f>
        <v>0</v>
      </c>
      <c r="P726" s="3">
        <v>0</v>
      </c>
      <c r="Q726" s="3">
        <v>0</v>
      </c>
      <c r="R726" s="3">
        <f>SUM(F726:Q726)</f>
        <v>250</v>
      </c>
      <c r="T726" s="3">
        <f t="shared" ref="T726:T727" si="292">SUM(F726:J726)</f>
        <v>250</v>
      </c>
      <c r="U726" s="93">
        <f>SUM(K726:Q726)</f>
        <v>0</v>
      </c>
      <c r="V726" s="11">
        <f>SUM(T726:U726)-R726</f>
        <v>0</v>
      </c>
    </row>
    <row r="727" spans="1:22" ht="13.5" thickBot="1" x14ac:dyDescent="0.35">
      <c r="A727" t="s">
        <v>349</v>
      </c>
      <c r="B727">
        <v>9.3000000000000007</v>
      </c>
      <c r="E727" s="8" t="s">
        <v>10</v>
      </c>
      <c r="F727" s="3">
        <f>32916.67+48450</f>
        <v>81366.67</v>
      </c>
      <c r="G727" s="3">
        <f>32916.63+48450</f>
        <v>81366.63</v>
      </c>
      <c r="H727" s="3">
        <f>34166.67+47133.34</f>
        <v>81300.009999999995</v>
      </c>
      <c r="I727" s="3">
        <f t="shared" ref="I727:J727" si="293">34166.67+47133.34</f>
        <v>81300.009999999995</v>
      </c>
      <c r="J727" s="3">
        <f t="shared" si="293"/>
        <v>81300.009999999995</v>
      </c>
      <c r="K727" s="3">
        <f>IF($B$724=12,'payment summary to Trustee'!$AW727,('payment summary to Trustee'!$BD727-'CDE Intercept  '!$T727)/4)</f>
        <v>142275.01750000002</v>
      </c>
      <c r="L727" s="3">
        <f>IF($B$724=12,'payment summary to Trustee'!$AW727,('payment summary to Trustee'!$BD727-'CDE Intercept  '!$T727)/4)</f>
        <v>142275.01750000002</v>
      </c>
      <c r="M727" s="3">
        <f>IF($B$724=12,'payment summary to Trustee'!$AW727,('payment summary to Trustee'!$BD727-'CDE Intercept  '!$T727)/4)</f>
        <v>142275.01750000002</v>
      </c>
      <c r="N727" s="3">
        <v>0</v>
      </c>
      <c r="O727" s="118">
        <f>IF($B$724=12,'payment summary to Trustee'!$AW727,('payment summary to Trustee'!$BD727-'CDE Intercept  '!$T727)/4)</f>
        <v>142275.01750000002</v>
      </c>
      <c r="P727" s="3">
        <v>0</v>
      </c>
      <c r="Q727" s="3">
        <v>0</v>
      </c>
      <c r="R727" s="3">
        <f>SUM(F727:Q727)</f>
        <v>975733.40000000014</v>
      </c>
      <c r="T727" s="3">
        <f t="shared" si="292"/>
        <v>406633.33</v>
      </c>
      <c r="U727" s="94">
        <f>SUM(K727:Q727)</f>
        <v>569100.07000000007</v>
      </c>
      <c r="V727" s="11">
        <f>SUM(T727:U727)-R727</f>
        <v>0</v>
      </c>
    </row>
    <row r="728" spans="1:22" ht="13.5" thickBot="1" x14ac:dyDescent="0.35">
      <c r="E728" s="13" t="s">
        <v>129</v>
      </c>
      <c r="F728" s="22">
        <f t="shared" ref="F728:R728" si="294">SUM(F725:F727)</f>
        <v>82795.009999999995</v>
      </c>
      <c r="G728" s="22">
        <f t="shared" si="294"/>
        <v>82544.89</v>
      </c>
      <c r="H728" s="22">
        <f t="shared" si="294"/>
        <v>82444.179999999993</v>
      </c>
      <c r="I728" s="22">
        <f t="shared" si="294"/>
        <v>82444.179999999993</v>
      </c>
      <c r="J728" s="22">
        <f t="shared" si="294"/>
        <v>82444.179999999993</v>
      </c>
      <c r="K728" s="22">
        <f t="shared" si="294"/>
        <v>144277.315</v>
      </c>
      <c r="L728" s="22">
        <f t="shared" si="294"/>
        <v>144277.315</v>
      </c>
      <c r="M728" s="22">
        <f t="shared" si="294"/>
        <v>144277.315</v>
      </c>
      <c r="N728" s="22">
        <f t="shared" si="294"/>
        <v>0</v>
      </c>
      <c r="O728" s="119">
        <f t="shared" si="294"/>
        <v>144277.315</v>
      </c>
      <c r="P728" s="22">
        <f t="shared" ref="P728" si="295">SUM(P725:P727)</f>
        <v>0</v>
      </c>
      <c r="Q728" s="22">
        <f t="shared" si="294"/>
        <v>0</v>
      </c>
      <c r="R728" s="22">
        <f t="shared" si="294"/>
        <v>989781.70000000019</v>
      </c>
      <c r="T728" s="39">
        <f>SUM(T725:T727)</f>
        <v>412672.44</v>
      </c>
      <c r="U728" s="78">
        <f>SUM(U725:U727)</f>
        <v>577109.26</v>
      </c>
      <c r="V728" s="11">
        <f>SUM(T728:U728)-R728</f>
        <v>0</v>
      </c>
    </row>
    <row r="729" spans="1:22" x14ac:dyDescent="0.3">
      <c r="E729" s="15"/>
      <c r="O729" s="118"/>
    </row>
    <row r="730" spans="1:22" ht="15.5" x14ac:dyDescent="0.35">
      <c r="B730">
        <v>9</v>
      </c>
      <c r="C730" s="20">
        <f>+C724+1</f>
        <v>88</v>
      </c>
      <c r="D730" s="1" t="s">
        <v>14</v>
      </c>
      <c r="E730" s="25" t="s">
        <v>350</v>
      </c>
      <c r="O730" s="118"/>
    </row>
    <row r="731" spans="1:22" x14ac:dyDescent="0.3">
      <c r="B731">
        <v>9.1</v>
      </c>
      <c r="E731" s="8" t="s">
        <v>8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f>IF($B$730=12,'payment summary to Trustee'!$AW731,('payment summary to Trustee'!$BD731-'CDE Intercept  '!$T731)/4)</f>
        <v>0</v>
      </c>
      <c r="L731" s="3">
        <f>IF($B$730=12,'payment summary to Trustee'!$AW731,('payment summary to Trustee'!$BD731-'CDE Intercept  '!$T731)/4)</f>
        <v>0</v>
      </c>
      <c r="M731" s="3">
        <f>IF($B$730=12,'payment summary to Trustee'!$AW731,('payment summary to Trustee'!$BD731-'CDE Intercept  '!$T731)/4)</f>
        <v>0</v>
      </c>
      <c r="N731" s="3">
        <v>0</v>
      </c>
      <c r="O731" s="118">
        <f>IF($B$730=12,'payment summary to Trustee'!$AW731,('payment summary to Trustee'!$BD731-'CDE Intercept  '!$T731)/4)</f>
        <v>0</v>
      </c>
      <c r="P731" s="3">
        <v>0</v>
      </c>
      <c r="Q731" s="3">
        <v>0</v>
      </c>
      <c r="R731" s="3">
        <f>SUM(F731:Q731)</f>
        <v>0</v>
      </c>
      <c r="T731" s="3">
        <f>SUM(F731:J731)</f>
        <v>0</v>
      </c>
      <c r="U731" s="93">
        <f>SUM(K731:Q731)</f>
        <v>0</v>
      </c>
      <c r="V731" s="11">
        <f>SUM(T731:U731)-R731</f>
        <v>0</v>
      </c>
    </row>
    <row r="732" spans="1:22" x14ac:dyDescent="0.3">
      <c r="B732">
        <v>9.1999999999999993</v>
      </c>
      <c r="E732" s="8" t="s">
        <v>9</v>
      </c>
      <c r="F732" s="3">
        <v>250</v>
      </c>
      <c r="G732" s="3">
        <v>0</v>
      </c>
      <c r="H732" s="3">
        <v>0</v>
      </c>
      <c r="I732" s="3">
        <v>0</v>
      </c>
      <c r="J732" s="3">
        <v>0</v>
      </c>
      <c r="K732" s="3">
        <f>IF($B$730=12,'payment summary to Trustee'!$AW732,('payment summary to Trustee'!$BD732-'CDE Intercept  '!$T732)/4)</f>
        <v>0</v>
      </c>
      <c r="L732" s="3">
        <f>IF($B$730=12,'payment summary to Trustee'!$AW732,('payment summary to Trustee'!$BD732-'CDE Intercept  '!$T732)/4)</f>
        <v>0</v>
      </c>
      <c r="M732" s="3">
        <f>IF($B$730=12,'payment summary to Trustee'!$AW732,('payment summary to Trustee'!$BD732-'CDE Intercept  '!$T732)/4)</f>
        <v>0</v>
      </c>
      <c r="N732" s="3">
        <v>0</v>
      </c>
      <c r="O732" s="118">
        <f>IF($B$730=12,'payment summary to Trustee'!$AW732,('payment summary to Trustee'!$BD732-'CDE Intercept  '!$T732)/4)</f>
        <v>0</v>
      </c>
      <c r="P732" s="3">
        <v>0</v>
      </c>
      <c r="Q732" s="3">
        <v>0</v>
      </c>
      <c r="R732" s="3">
        <f>SUM(F732:Q732)</f>
        <v>250</v>
      </c>
      <c r="T732" s="3">
        <f t="shared" ref="T732:T733" si="296">SUM(F732:J732)</f>
        <v>250</v>
      </c>
      <c r="U732" s="93">
        <f>SUM(K732:Q732)</f>
        <v>0</v>
      </c>
      <c r="V732" s="11">
        <f>SUM(T732:U732)-R732</f>
        <v>0</v>
      </c>
    </row>
    <row r="733" spans="1:22" ht="13.5" thickBot="1" x14ac:dyDescent="0.35">
      <c r="A733" t="s">
        <v>351</v>
      </c>
      <c r="B733">
        <v>9.3000000000000007</v>
      </c>
      <c r="E733" s="8" t="s">
        <v>10</v>
      </c>
      <c r="F733" s="3">
        <f>1666.67+41333.33</f>
        <v>43000</v>
      </c>
      <c r="G733" s="3">
        <f>1666.67+41333.33</f>
        <v>43000</v>
      </c>
      <c r="H733" s="3">
        <f>1666.63+41333.35</f>
        <v>42999.979999999996</v>
      </c>
      <c r="I733" s="3">
        <f>1666.67+41266.66</f>
        <v>42933.33</v>
      </c>
      <c r="J733" s="3">
        <f t="shared" ref="J733" si="297">1666.67+41266.66</f>
        <v>42933.33</v>
      </c>
      <c r="K733" s="3">
        <f>IF($B$730=12,'payment summary to Trustee'!$AW733,('payment summary to Trustee'!$BD733-'CDE Intercept  '!$T733)/4)</f>
        <v>75133.337500000023</v>
      </c>
      <c r="L733" s="3">
        <f>IF($B$730=12,'payment summary to Trustee'!$AW733,('payment summary to Trustee'!$BD733-'CDE Intercept  '!$T733)/4)</f>
        <v>75133.337500000023</v>
      </c>
      <c r="M733" s="3">
        <f>IF($B$730=12,'payment summary to Trustee'!$AW733,('payment summary to Trustee'!$BD733-'CDE Intercept  '!$T733)/4)</f>
        <v>75133.337500000023</v>
      </c>
      <c r="N733" s="3">
        <v>0</v>
      </c>
      <c r="O733" s="118">
        <f>IF($B$730=12,'payment summary to Trustee'!$AW733,('payment summary to Trustee'!$BD733-'CDE Intercept  '!$T733)/4)</f>
        <v>75133.337500000023</v>
      </c>
      <c r="P733" s="3">
        <v>0</v>
      </c>
      <c r="Q733" s="3">
        <v>0</v>
      </c>
      <c r="R733" s="3">
        <f>SUM(F733:Q733)</f>
        <v>515399.99000000011</v>
      </c>
      <c r="T733" s="3">
        <f t="shared" si="296"/>
        <v>214866.64</v>
      </c>
      <c r="U733" s="94">
        <f>SUM(K733:Q733)</f>
        <v>300533.35000000009</v>
      </c>
      <c r="V733" s="11">
        <f>SUM(T733:U733)-R733</f>
        <v>0</v>
      </c>
    </row>
    <row r="734" spans="1:22" ht="13.5" thickBot="1" x14ac:dyDescent="0.35">
      <c r="E734" s="13" t="s">
        <v>73</v>
      </c>
      <c r="F734" s="22">
        <f t="shared" ref="F734:R734" si="298">SUM(F731:F733)</f>
        <v>43250</v>
      </c>
      <c r="G734" s="22">
        <f t="shared" si="298"/>
        <v>43000</v>
      </c>
      <c r="H734" s="22">
        <f t="shared" si="298"/>
        <v>42999.979999999996</v>
      </c>
      <c r="I734" s="22">
        <f t="shared" si="298"/>
        <v>42933.33</v>
      </c>
      <c r="J734" s="22">
        <f t="shared" si="298"/>
        <v>42933.33</v>
      </c>
      <c r="K734" s="22">
        <f t="shared" si="298"/>
        <v>75133.337500000023</v>
      </c>
      <c r="L734" s="22">
        <f t="shared" si="298"/>
        <v>75133.337500000023</v>
      </c>
      <c r="M734" s="22">
        <f t="shared" si="298"/>
        <v>75133.337500000023</v>
      </c>
      <c r="N734" s="22">
        <f t="shared" si="298"/>
        <v>0</v>
      </c>
      <c r="O734" s="119">
        <f t="shared" si="298"/>
        <v>75133.337500000023</v>
      </c>
      <c r="P734" s="22">
        <f t="shared" ref="P734" si="299">SUM(P731:P733)</f>
        <v>0</v>
      </c>
      <c r="Q734" s="22">
        <f t="shared" si="298"/>
        <v>0</v>
      </c>
      <c r="R734" s="22">
        <f t="shared" si="298"/>
        <v>515649.99000000011</v>
      </c>
      <c r="T734" s="39">
        <f>SUM(T731:T733)</f>
        <v>215116.64</v>
      </c>
      <c r="U734" s="78">
        <f>SUM(U731:U733)</f>
        <v>300533.35000000009</v>
      </c>
      <c r="V734" s="11">
        <f>SUM(T734:U734)-R734</f>
        <v>0</v>
      </c>
    </row>
    <row r="735" spans="1:22" x14ac:dyDescent="0.3">
      <c r="E735" s="15"/>
      <c r="O735" s="118"/>
    </row>
    <row r="736" spans="1:22" ht="15.5" x14ac:dyDescent="0.35">
      <c r="C736" s="20"/>
      <c r="D736" s="32" t="s">
        <v>6</v>
      </c>
      <c r="E736" s="10" t="s">
        <v>352</v>
      </c>
      <c r="O736" s="118"/>
    </row>
    <row r="737" spans="1:22" x14ac:dyDescent="0.3">
      <c r="E737" s="8" t="s">
        <v>8</v>
      </c>
      <c r="O737" s="118"/>
    </row>
    <row r="738" spans="1:22" x14ac:dyDescent="0.3">
      <c r="E738" s="8" t="s">
        <v>9</v>
      </c>
      <c r="O738" s="118"/>
    </row>
    <row r="739" spans="1:22" ht="13.5" thickBot="1" x14ac:dyDescent="0.35">
      <c r="A739" t="s">
        <v>353</v>
      </c>
      <c r="E739" s="8" t="s">
        <v>10</v>
      </c>
      <c r="O739" s="118"/>
    </row>
    <row r="740" spans="1:22" ht="13.5" thickBot="1" x14ac:dyDescent="0.35">
      <c r="E740" s="13" t="s">
        <v>354</v>
      </c>
      <c r="O740" s="118"/>
    </row>
    <row r="741" spans="1:22" x14ac:dyDescent="0.3">
      <c r="E741" s="15"/>
      <c r="O741" s="118"/>
    </row>
    <row r="742" spans="1:22" ht="15.5" x14ac:dyDescent="0.35">
      <c r="A742" s="33" t="s">
        <v>14</v>
      </c>
      <c r="B742">
        <v>9</v>
      </c>
      <c r="C742" s="20">
        <f>+C730+1</f>
        <v>89</v>
      </c>
      <c r="D742" s="1" t="s">
        <v>208</v>
      </c>
      <c r="E742" s="25" t="s">
        <v>355</v>
      </c>
      <c r="O742" s="118"/>
    </row>
    <row r="743" spans="1:22" x14ac:dyDescent="0.3">
      <c r="B743">
        <v>9.1</v>
      </c>
      <c r="E743" s="8" t="s">
        <v>8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f>IF($B$742=12,'payment summary to Trustee'!$AW743,('payment summary to Trustee'!$BD743-'CDE Intercept  '!$T743)/4)</f>
        <v>0</v>
      </c>
      <c r="L743" s="3">
        <f>IF($B$742=12,'payment summary to Trustee'!$AW743,('payment summary to Trustee'!$BD743-'CDE Intercept  '!$T743)/4)</f>
        <v>0</v>
      </c>
      <c r="M743" s="3">
        <f>IF($B$742=12,'payment summary to Trustee'!$AW743,('payment summary to Trustee'!$BD743-'CDE Intercept  '!$T743)/4)</f>
        <v>0</v>
      </c>
      <c r="N743" s="3">
        <v>0</v>
      </c>
      <c r="O743" s="118">
        <f>IF($B$742=12,'payment summary to Trustee'!$AW743,('payment summary to Trustee'!$BD743-'CDE Intercept  '!$T743)/4)</f>
        <v>0</v>
      </c>
      <c r="P743" s="3">
        <v>0</v>
      </c>
      <c r="Q743" s="3">
        <v>0</v>
      </c>
      <c r="R743" s="3">
        <f>SUM(F743:Q743)</f>
        <v>0</v>
      </c>
      <c r="T743" s="3">
        <f>SUM(F743:J743)</f>
        <v>0</v>
      </c>
      <c r="U743" s="93">
        <f>SUM(K743:Q743)</f>
        <v>0</v>
      </c>
      <c r="V743" s="11">
        <f>SUM(T743:U743)-R743</f>
        <v>0</v>
      </c>
    </row>
    <row r="744" spans="1:22" x14ac:dyDescent="0.3">
      <c r="B744">
        <v>9.1999999999999993</v>
      </c>
      <c r="E744" s="8" t="s">
        <v>9</v>
      </c>
      <c r="F744" s="3">
        <v>250</v>
      </c>
      <c r="G744" s="3">
        <v>0</v>
      </c>
      <c r="H744" s="3">
        <v>0</v>
      </c>
      <c r="I744" s="3">
        <v>0</v>
      </c>
      <c r="J744" s="3">
        <v>0</v>
      </c>
      <c r="K744" s="3">
        <f>IF($B$742=12,'payment summary to Trustee'!$AW744,('payment summary to Trustee'!$BD744-'CDE Intercept  '!$T744)/4)</f>
        <v>0</v>
      </c>
      <c r="L744" s="3">
        <f>IF($B$742=12,'payment summary to Trustee'!$AW744,('payment summary to Trustee'!$BD744-'CDE Intercept  '!$T744)/4)</f>
        <v>0</v>
      </c>
      <c r="M744" s="3">
        <f>IF($B$742=12,'payment summary to Trustee'!$AW744,('payment summary to Trustee'!$BD744-'CDE Intercept  '!$T744)/4)</f>
        <v>0</v>
      </c>
      <c r="N744" s="3">
        <v>0</v>
      </c>
      <c r="O744" s="118">
        <f>IF($B$742=12,'payment summary to Trustee'!$AW744,('payment summary to Trustee'!$BD744-'CDE Intercept  '!$T744)/4)</f>
        <v>0</v>
      </c>
      <c r="P744" s="3">
        <v>0</v>
      </c>
      <c r="Q744" s="3">
        <v>0</v>
      </c>
      <c r="R744" s="3">
        <f>SUM(F744:Q744)</f>
        <v>250</v>
      </c>
      <c r="T744" s="3">
        <f t="shared" ref="T744:T745" si="300">SUM(F744:J744)</f>
        <v>250</v>
      </c>
      <c r="U744" s="93">
        <f>SUM(K744:Q744)</f>
        <v>0</v>
      </c>
      <c r="V744" s="11">
        <f>SUM(T744:U744)-R744</f>
        <v>0</v>
      </c>
    </row>
    <row r="745" spans="1:22" ht="13.5" thickBot="1" x14ac:dyDescent="0.35">
      <c r="A745" t="s">
        <v>356</v>
      </c>
      <c r="B745">
        <v>9.3000000000000007</v>
      </c>
      <c r="E745" s="8" t="s">
        <v>10</v>
      </c>
      <c r="F745" s="3">
        <f>34583.33+53048</f>
        <v>87631.33</v>
      </c>
      <c r="G745" s="3">
        <f>34583.33+53048</f>
        <v>87631.33</v>
      </c>
      <c r="H745" s="3">
        <f t="shared" ref="H745:J745" si="301">34583.33+53048</f>
        <v>87631.33</v>
      </c>
      <c r="I745" s="3">
        <f t="shared" si="301"/>
        <v>87631.33</v>
      </c>
      <c r="J745" s="3">
        <f t="shared" si="301"/>
        <v>87631.33</v>
      </c>
      <c r="K745" s="3">
        <f>IF($B$742=12,'payment summary to Trustee'!$AW745,('payment summary to Trustee'!$BD745-'CDE Intercept  '!$T745)/4)</f>
        <v>153354.83749999994</v>
      </c>
      <c r="L745" s="3">
        <f>IF($B$742=12,'payment summary to Trustee'!$AW745,('payment summary to Trustee'!$BD745-'CDE Intercept  '!$T745)/4)</f>
        <v>153354.83749999994</v>
      </c>
      <c r="M745" s="3">
        <f>IF($B$742=12,'payment summary to Trustee'!$AW745,('payment summary to Trustee'!$BD745-'CDE Intercept  '!$T745)/4)</f>
        <v>153354.83749999994</v>
      </c>
      <c r="N745" s="3">
        <v>0</v>
      </c>
      <c r="O745" s="118">
        <f>IF($B$742=12,'payment summary to Trustee'!$AW745,('payment summary to Trustee'!$BD745-'CDE Intercept  '!$T745)/4)</f>
        <v>153354.83749999994</v>
      </c>
      <c r="P745" s="3">
        <v>0</v>
      </c>
      <c r="Q745" s="3">
        <v>0</v>
      </c>
      <c r="R745" s="3">
        <f>SUM(F745:Q745)</f>
        <v>1051575.9999999998</v>
      </c>
      <c r="T745" s="3">
        <f t="shared" si="300"/>
        <v>438156.65</v>
      </c>
      <c r="U745" s="94">
        <f>SUM(K745:Q745)</f>
        <v>613419.34999999974</v>
      </c>
      <c r="V745" s="11">
        <f>SUM(T745:U745)-R745</f>
        <v>0</v>
      </c>
    </row>
    <row r="746" spans="1:22" ht="13.5" thickBot="1" x14ac:dyDescent="0.35">
      <c r="E746" s="13" t="s">
        <v>357</v>
      </c>
      <c r="F746" s="22">
        <f t="shared" ref="F746:R746" si="302">SUM(F743:F745)</f>
        <v>87881.33</v>
      </c>
      <c r="G746" s="22">
        <f t="shared" si="302"/>
        <v>87631.33</v>
      </c>
      <c r="H746" s="22">
        <f t="shared" si="302"/>
        <v>87631.33</v>
      </c>
      <c r="I746" s="22">
        <f t="shared" si="302"/>
        <v>87631.33</v>
      </c>
      <c r="J746" s="22">
        <f t="shared" si="302"/>
        <v>87631.33</v>
      </c>
      <c r="K746" s="22">
        <f t="shared" si="302"/>
        <v>153354.83749999994</v>
      </c>
      <c r="L746" s="22">
        <f t="shared" si="302"/>
        <v>153354.83749999994</v>
      </c>
      <c r="M746" s="22">
        <f t="shared" si="302"/>
        <v>153354.83749999994</v>
      </c>
      <c r="N746" s="22">
        <f t="shared" si="302"/>
        <v>0</v>
      </c>
      <c r="O746" s="119">
        <f t="shared" si="302"/>
        <v>153354.83749999994</v>
      </c>
      <c r="P746" s="22">
        <f t="shared" ref="P746" si="303">SUM(P743:P745)</f>
        <v>0</v>
      </c>
      <c r="Q746" s="22">
        <f t="shared" si="302"/>
        <v>0</v>
      </c>
      <c r="R746" s="22">
        <f t="shared" si="302"/>
        <v>1051825.9999999998</v>
      </c>
      <c r="T746" s="39">
        <f>SUM(T743:T745)</f>
        <v>438406.65</v>
      </c>
      <c r="U746" s="78">
        <f>SUM(U743:U745)</f>
        <v>613419.34999999974</v>
      </c>
      <c r="V746" s="11">
        <f>SUM(T746:U746)-R746</f>
        <v>0</v>
      </c>
    </row>
    <row r="747" spans="1:22" x14ac:dyDescent="0.3">
      <c r="E747" s="15"/>
      <c r="O747" s="118"/>
    </row>
    <row r="748" spans="1:22" ht="15.5" x14ac:dyDescent="0.35">
      <c r="B748" s="97">
        <v>9</v>
      </c>
      <c r="C748" s="20">
        <f>C742</f>
        <v>89</v>
      </c>
      <c r="D748" s="1" t="s">
        <v>212</v>
      </c>
      <c r="E748" s="25" t="s">
        <v>358</v>
      </c>
      <c r="O748" s="118"/>
    </row>
    <row r="749" spans="1:22" x14ac:dyDescent="0.3">
      <c r="B749">
        <v>9.1</v>
      </c>
      <c r="E749" s="8" t="s">
        <v>8</v>
      </c>
      <c r="K749" s="3">
        <f>IF($B$748=12,'payment summary to Trustee'!$AW749,('payment summary to Trustee'!$BD749-'CDE Intercept  '!$T749)/4)</f>
        <v>0</v>
      </c>
      <c r="L749" s="3">
        <f>IF($B$748=12,'payment summary to Trustee'!$AW749,('payment summary to Trustee'!$BD749-'CDE Intercept  '!$T749)/4)</f>
        <v>0</v>
      </c>
      <c r="M749" s="3">
        <f>IF($B$748=12,'payment summary to Trustee'!$AW749,('payment summary to Trustee'!$BD749-'CDE Intercept  '!$T749)/4)</f>
        <v>0</v>
      </c>
      <c r="N749" s="3">
        <v>0</v>
      </c>
      <c r="O749" s="118">
        <f>IF($B$748=12,'payment summary to Trustee'!$AW749,('payment summary to Trustee'!$BD749-'CDE Intercept  '!$T749)/4)</f>
        <v>0</v>
      </c>
      <c r="P749" s="3">
        <v>0</v>
      </c>
      <c r="R749" s="3">
        <f>SUM(F749:Q749)</f>
        <v>0</v>
      </c>
      <c r="T749" s="3">
        <f>SUM(F749:J749)</f>
        <v>0</v>
      </c>
      <c r="U749" s="93">
        <f>SUM(K749:Q749)</f>
        <v>0</v>
      </c>
      <c r="V749" s="26">
        <f>SUM(T749:U749)-R749</f>
        <v>0</v>
      </c>
    </row>
    <row r="750" spans="1:22" x14ac:dyDescent="0.3">
      <c r="B750">
        <v>9.1999999999999993</v>
      </c>
      <c r="E750" s="8" t="s">
        <v>9</v>
      </c>
      <c r="K750" s="3">
        <f>IF($B$748=12,'payment summary to Trustee'!$AW750,('payment summary to Trustee'!$BD750-'CDE Intercept  '!$T750)/4)</f>
        <v>0</v>
      </c>
      <c r="L750" s="3">
        <f>IF($B$748=12,'payment summary to Trustee'!$AW750,('payment summary to Trustee'!$BD750-'CDE Intercept  '!$T750)/4)</f>
        <v>0</v>
      </c>
      <c r="M750" s="3">
        <f>IF($B$748=12,'payment summary to Trustee'!$AW750,('payment summary to Trustee'!$BD750-'CDE Intercept  '!$T750)/4)</f>
        <v>0</v>
      </c>
      <c r="N750" s="3">
        <v>0</v>
      </c>
      <c r="O750" s="118">
        <f>IF($B$748=12,'payment summary to Trustee'!$AW750,('payment summary to Trustee'!$BD750-'CDE Intercept  '!$T750)/4)</f>
        <v>0</v>
      </c>
      <c r="P750" s="3">
        <v>0</v>
      </c>
      <c r="R750" s="3">
        <f>SUM(F750:Q750)</f>
        <v>0</v>
      </c>
      <c r="T750" s="3">
        <f t="shared" ref="T750:T751" si="304">SUM(F750:J750)</f>
        <v>0</v>
      </c>
      <c r="U750" s="93">
        <f>SUM(K750:Q750)</f>
        <v>0</v>
      </c>
      <c r="V750" s="26">
        <f>SUM(T750:U750)-R750</f>
        <v>0</v>
      </c>
    </row>
    <row r="751" spans="1:22" ht="13.5" thickBot="1" x14ac:dyDescent="0.35">
      <c r="A751" t="s">
        <v>359</v>
      </c>
      <c r="B751">
        <v>9.3000000000000007</v>
      </c>
      <c r="E751" s="8" t="s">
        <v>10</v>
      </c>
      <c r="F751" s="3">
        <v>0</v>
      </c>
      <c r="G751" s="3">
        <v>0</v>
      </c>
      <c r="H751" s="3">
        <v>56500</v>
      </c>
      <c r="I751" s="3">
        <v>56500</v>
      </c>
      <c r="J751" s="3">
        <v>56500</v>
      </c>
      <c r="K751" s="3">
        <f>IF($B$748=12,'payment summary to Trustee'!$AW751,('payment summary to Trustee'!$BD751-'CDE Intercept  '!$T751)/4)</f>
        <v>84750</v>
      </c>
      <c r="L751" s="3">
        <f>IF($B$748=12,'payment summary to Trustee'!$AW751,('payment summary to Trustee'!$BD751-'CDE Intercept  '!$T751)/4)</f>
        <v>84750</v>
      </c>
      <c r="M751" s="3">
        <f>IF($B$748=12,'payment summary to Trustee'!$AW751,('payment summary to Trustee'!$BD751-'CDE Intercept  '!$T751)/4)</f>
        <v>84750</v>
      </c>
      <c r="N751" s="3">
        <v>0</v>
      </c>
      <c r="O751" s="118">
        <f>IF($B$748=12,'payment summary to Trustee'!$AW751,('payment summary to Trustee'!$BD751-'CDE Intercept  '!$T751)/4)</f>
        <v>84750</v>
      </c>
      <c r="P751" s="3">
        <v>0</v>
      </c>
      <c r="Q751" s="3">
        <v>0</v>
      </c>
      <c r="R751" s="3">
        <f>SUM(F751:Q751)</f>
        <v>508500</v>
      </c>
      <c r="T751" s="3">
        <f t="shared" si="304"/>
        <v>169500</v>
      </c>
      <c r="U751" s="94">
        <f>SUM(K751:Q751)</f>
        <v>339000</v>
      </c>
      <c r="V751" s="26">
        <f>SUM(T751:U751)-R751</f>
        <v>0</v>
      </c>
    </row>
    <row r="752" spans="1:22" ht="13.5" thickBot="1" x14ac:dyDescent="0.35">
      <c r="E752" s="13" t="s">
        <v>357</v>
      </c>
      <c r="F752" s="22">
        <f t="shared" ref="F752:R752" si="305">SUM(F749:F751)</f>
        <v>0</v>
      </c>
      <c r="G752" s="22">
        <f t="shared" si="305"/>
        <v>0</v>
      </c>
      <c r="H752" s="22">
        <f t="shared" si="305"/>
        <v>56500</v>
      </c>
      <c r="I752" s="22">
        <f t="shared" si="305"/>
        <v>56500</v>
      </c>
      <c r="J752" s="22">
        <f t="shared" si="305"/>
        <v>56500</v>
      </c>
      <c r="K752" s="22">
        <f t="shared" si="305"/>
        <v>84750</v>
      </c>
      <c r="L752" s="22">
        <f t="shared" si="305"/>
        <v>84750</v>
      </c>
      <c r="M752" s="22">
        <f t="shared" si="305"/>
        <v>84750</v>
      </c>
      <c r="N752" s="22">
        <f t="shared" si="305"/>
        <v>0</v>
      </c>
      <c r="O752" s="119">
        <f t="shared" si="305"/>
        <v>84750</v>
      </c>
      <c r="P752" s="22">
        <f t="shared" ref="P752" si="306">SUM(P749:P751)</f>
        <v>0</v>
      </c>
      <c r="Q752" s="22">
        <f t="shared" si="305"/>
        <v>0</v>
      </c>
      <c r="R752" s="22">
        <f t="shared" si="305"/>
        <v>508500</v>
      </c>
      <c r="T752" s="39">
        <f>SUM(T749:T751)</f>
        <v>169500</v>
      </c>
      <c r="U752" s="78">
        <f>SUM(U749:U751)</f>
        <v>339000</v>
      </c>
      <c r="V752" s="26">
        <f>SUM(T752:U752)-R752</f>
        <v>0</v>
      </c>
    </row>
    <row r="753" spans="1:22" x14ac:dyDescent="0.3">
      <c r="E753" s="15"/>
      <c r="O753" s="118"/>
    </row>
    <row r="754" spans="1:22" ht="15.5" x14ac:dyDescent="0.35">
      <c r="A754" s="33" t="s">
        <v>14</v>
      </c>
      <c r="B754">
        <v>12</v>
      </c>
      <c r="C754" s="20">
        <f>+C748+1</f>
        <v>90</v>
      </c>
      <c r="D754" s="1" t="s">
        <v>208</v>
      </c>
      <c r="E754" s="25" t="s">
        <v>360</v>
      </c>
      <c r="O754" s="118"/>
    </row>
    <row r="755" spans="1:22" x14ac:dyDescent="0.3">
      <c r="B755">
        <v>12.1</v>
      </c>
      <c r="E755" s="8" t="s">
        <v>8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118">
        <v>0</v>
      </c>
      <c r="P755" s="3">
        <v>0</v>
      </c>
      <c r="Q755" s="3">
        <v>0</v>
      </c>
      <c r="R755" s="3">
        <f>SUM(F755:Q755)</f>
        <v>0</v>
      </c>
      <c r="T755" s="3">
        <f>SUM(F755:J755)</f>
        <v>0</v>
      </c>
      <c r="U755" s="93">
        <f>SUM(K755:Q755)</f>
        <v>0</v>
      </c>
      <c r="V755" s="11">
        <f>SUM(T755:U755)-R755</f>
        <v>0</v>
      </c>
    </row>
    <row r="756" spans="1:22" x14ac:dyDescent="0.3">
      <c r="B756">
        <v>12.2</v>
      </c>
      <c r="E756" s="8" t="s">
        <v>9</v>
      </c>
      <c r="F756" s="3">
        <v>125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118">
        <v>0</v>
      </c>
      <c r="P756" s="3">
        <v>0</v>
      </c>
      <c r="Q756" s="3">
        <v>0</v>
      </c>
      <c r="R756" s="3">
        <f>SUM(F756:Q756)</f>
        <v>125</v>
      </c>
      <c r="T756" s="3">
        <f t="shared" ref="T756:T757" si="307">SUM(F756:J756)</f>
        <v>125</v>
      </c>
      <c r="U756" s="93">
        <f>SUM(K756:Q756)</f>
        <v>0</v>
      </c>
      <c r="V756" s="11">
        <f>SUM(T756:U756)-R756</f>
        <v>0</v>
      </c>
    </row>
    <row r="757" spans="1:22" ht="13.5" thickBot="1" x14ac:dyDescent="0.35">
      <c r="A757" t="s">
        <v>361</v>
      </c>
      <c r="B757">
        <v>12.3</v>
      </c>
      <c r="E757" s="8" t="s">
        <v>10</v>
      </c>
      <c r="F757" s="3">
        <v>19992.71</v>
      </c>
      <c r="G757" s="3">
        <v>19992.71</v>
      </c>
      <c r="H757" s="3">
        <v>19992.71</v>
      </c>
      <c r="I757" s="3">
        <v>19992.71</v>
      </c>
      <c r="J757" s="3">
        <v>19992.71</v>
      </c>
      <c r="K757" s="3">
        <v>19992.7</v>
      </c>
      <c r="L757" s="3">
        <v>19992.71</v>
      </c>
      <c r="M757" s="3">
        <v>19992.71</v>
      </c>
      <c r="N757" s="3">
        <v>19992.71</v>
      </c>
      <c r="O757" s="118">
        <v>19992.71</v>
      </c>
      <c r="P757" s="3">
        <v>19992.71</v>
      </c>
      <c r="Q757" s="3">
        <v>19992.7</v>
      </c>
      <c r="R757" s="3">
        <f>SUM(F757:Q757)</f>
        <v>239912.49999999997</v>
      </c>
      <c r="T757" s="3">
        <f t="shared" si="307"/>
        <v>99963.549999999988</v>
      </c>
      <c r="U757" s="94">
        <f>SUM(K757:Q757)</f>
        <v>139948.95000000001</v>
      </c>
      <c r="V757" s="11">
        <f>SUM(T757:U757)-R757</f>
        <v>0</v>
      </c>
    </row>
    <row r="758" spans="1:22" ht="13.5" thickBot="1" x14ac:dyDescent="0.35">
      <c r="E758" s="13" t="s">
        <v>362</v>
      </c>
      <c r="F758" s="22">
        <f t="shared" ref="F758:R758" si="308">SUM(F755:F757)</f>
        <v>20117.71</v>
      </c>
      <c r="G758" s="22">
        <f t="shared" si="308"/>
        <v>19992.71</v>
      </c>
      <c r="H758" s="22">
        <f t="shared" si="308"/>
        <v>19992.71</v>
      </c>
      <c r="I758" s="22">
        <f t="shared" si="308"/>
        <v>19992.71</v>
      </c>
      <c r="J758" s="22">
        <f t="shared" si="308"/>
        <v>19992.71</v>
      </c>
      <c r="K758" s="22">
        <f t="shared" si="308"/>
        <v>19992.7</v>
      </c>
      <c r="L758" s="22">
        <f t="shared" si="308"/>
        <v>19992.71</v>
      </c>
      <c r="M758" s="22">
        <f t="shared" si="308"/>
        <v>19992.71</v>
      </c>
      <c r="N758" s="22">
        <f t="shared" si="308"/>
        <v>19992.71</v>
      </c>
      <c r="O758" s="119">
        <f t="shared" si="308"/>
        <v>19992.71</v>
      </c>
      <c r="P758" s="22">
        <f t="shared" si="308"/>
        <v>19992.71</v>
      </c>
      <c r="Q758" s="22">
        <f t="shared" si="308"/>
        <v>19992.7</v>
      </c>
      <c r="R758" s="22">
        <f t="shared" si="308"/>
        <v>240037.49999999997</v>
      </c>
      <c r="T758" s="39">
        <f>SUM(T755:T757)</f>
        <v>100088.54999999999</v>
      </c>
      <c r="U758" s="78">
        <f>SUM(U755:U757)</f>
        <v>139948.95000000001</v>
      </c>
      <c r="V758" s="11">
        <f>SUM(T758:U758)-R758</f>
        <v>0</v>
      </c>
    </row>
    <row r="759" spans="1:22" x14ac:dyDescent="0.3">
      <c r="E759" s="15"/>
      <c r="O759" s="118"/>
    </row>
    <row r="760" spans="1:22" ht="15.5" x14ac:dyDescent="0.35">
      <c r="A760" s="33" t="s">
        <v>14</v>
      </c>
      <c r="B760">
        <v>12</v>
      </c>
      <c r="C760" s="20">
        <f>C754</f>
        <v>90</v>
      </c>
      <c r="D760" s="1" t="s">
        <v>212</v>
      </c>
      <c r="E760" s="25" t="s">
        <v>363</v>
      </c>
      <c r="O760" s="118"/>
    </row>
    <row r="761" spans="1:22" x14ac:dyDescent="0.3">
      <c r="B761">
        <v>12.1</v>
      </c>
      <c r="E761" s="8" t="s">
        <v>8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118">
        <v>0</v>
      </c>
      <c r="P761" s="3">
        <v>0</v>
      </c>
      <c r="Q761" s="3">
        <v>0</v>
      </c>
      <c r="R761" s="3">
        <f>SUM(F761:Q761)</f>
        <v>0</v>
      </c>
      <c r="T761" s="3">
        <f>SUM(F761:J761)</f>
        <v>0</v>
      </c>
      <c r="U761" s="93">
        <f>SUM(K761:Q761)</f>
        <v>0</v>
      </c>
      <c r="V761" s="11">
        <f>SUM(T761:U761)-R761</f>
        <v>0</v>
      </c>
    </row>
    <row r="762" spans="1:22" x14ac:dyDescent="0.3">
      <c r="B762">
        <v>12.2</v>
      </c>
      <c r="E762" s="8" t="s">
        <v>9</v>
      </c>
      <c r="F762" s="3">
        <v>125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118">
        <v>0</v>
      </c>
      <c r="P762" s="3">
        <v>0</v>
      </c>
      <c r="Q762" s="3">
        <v>0</v>
      </c>
      <c r="R762" s="3">
        <f>SUM(F762:Q762)</f>
        <v>125</v>
      </c>
      <c r="T762" s="3">
        <f t="shared" ref="T762:T763" si="309">SUM(F762:J762)</f>
        <v>125</v>
      </c>
      <c r="U762" s="93">
        <f>SUM(K762:Q762)</f>
        <v>0</v>
      </c>
      <c r="V762" s="11">
        <f>SUM(T762:U762)-R762</f>
        <v>0</v>
      </c>
    </row>
    <row r="763" spans="1:22" ht="13.5" thickBot="1" x14ac:dyDescent="0.35">
      <c r="A763" t="s">
        <v>364</v>
      </c>
      <c r="B763">
        <v>12.3</v>
      </c>
      <c r="E763" s="8" t="s">
        <v>10</v>
      </c>
      <c r="F763" s="3">
        <f>9583.33+3987.5</f>
        <v>13570.83</v>
      </c>
      <c r="G763" s="3">
        <f t="shared" ref="G763:P763" si="310">9583.33+3987.5</f>
        <v>13570.83</v>
      </c>
      <c r="H763" s="3">
        <f t="shared" si="310"/>
        <v>13570.83</v>
      </c>
      <c r="I763" s="3">
        <f t="shared" si="310"/>
        <v>13570.83</v>
      </c>
      <c r="J763" s="3">
        <f t="shared" si="310"/>
        <v>13570.83</v>
      </c>
      <c r="K763" s="3">
        <f t="shared" si="310"/>
        <v>13570.83</v>
      </c>
      <c r="L763" s="3">
        <f t="shared" si="310"/>
        <v>13570.83</v>
      </c>
      <c r="M763" s="3">
        <f t="shared" si="310"/>
        <v>13570.83</v>
      </c>
      <c r="N763" s="3">
        <f t="shared" si="310"/>
        <v>13570.83</v>
      </c>
      <c r="O763" s="118">
        <f t="shared" si="310"/>
        <v>13570.83</v>
      </c>
      <c r="P763" s="3">
        <f t="shared" si="310"/>
        <v>13570.83</v>
      </c>
      <c r="Q763" s="3">
        <f>9583.37+3987.5</f>
        <v>13570.87</v>
      </c>
      <c r="R763" s="3">
        <f>SUM(F763:Q763)</f>
        <v>162849.99999999997</v>
      </c>
      <c r="T763" s="3">
        <f t="shared" si="309"/>
        <v>67854.149999999994</v>
      </c>
      <c r="U763" s="94">
        <f>SUM(K763:Q763)</f>
        <v>94995.849999999991</v>
      </c>
      <c r="V763" s="11">
        <f>SUM(T763:U763)-R763</f>
        <v>0</v>
      </c>
    </row>
    <row r="764" spans="1:22" ht="13.5" thickBot="1" x14ac:dyDescent="0.35">
      <c r="E764" s="13" t="s">
        <v>362</v>
      </c>
      <c r="F764" s="22">
        <f t="shared" ref="F764:R764" si="311">SUM(F761:F763)</f>
        <v>13695.83</v>
      </c>
      <c r="G764" s="22">
        <f t="shared" si="311"/>
        <v>13570.83</v>
      </c>
      <c r="H764" s="22">
        <f t="shared" si="311"/>
        <v>13570.83</v>
      </c>
      <c r="I764" s="22">
        <f t="shared" si="311"/>
        <v>13570.83</v>
      </c>
      <c r="J764" s="22">
        <f t="shared" si="311"/>
        <v>13570.83</v>
      </c>
      <c r="K764" s="22">
        <f t="shared" si="311"/>
        <v>13570.83</v>
      </c>
      <c r="L764" s="22">
        <f t="shared" si="311"/>
        <v>13570.83</v>
      </c>
      <c r="M764" s="22">
        <f t="shared" si="311"/>
        <v>13570.83</v>
      </c>
      <c r="N764" s="22">
        <f t="shared" si="311"/>
        <v>13570.83</v>
      </c>
      <c r="O764" s="119">
        <f t="shared" si="311"/>
        <v>13570.83</v>
      </c>
      <c r="P764" s="22">
        <f t="shared" si="311"/>
        <v>13570.83</v>
      </c>
      <c r="Q764" s="22">
        <f t="shared" si="311"/>
        <v>13570.87</v>
      </c>
      <c r="R764" s="22">
        <f t="shared" si="311"/>
        <v>162974.99999999997</v>
      </c>
      <c r="T764" s="39">
        <f>SUM(T761:T763)</f>
        <v>67979.149999999994</v>
      </c>
      <c r="U764" s="78">
        <f>SUM(U761:U763)</f>
        <v>94995.849999999991</v>
      </c>
      <c r="V764" s="11">
        <f>SUM(T764:U764)-R764</f>
        <v>0</v>
      </c>
    </row>
    <row r="765" spans="1:22" x14ac:dyDescent="0.3">
      <c r="E765" s="15"/>
      <c r="O765" s="118"/>
    </row>
    <row r="766" spans="1:22" ht="15.5" x14ac:dyDescent="0.35">
      <c r="B766">
        <v>9</v>
      </c>
      <c r="C766" s="20">
        <f>+C760+1</f>
        <v>91</v>
      </c>
      <c r="D766" s="1" t="s">
        <v>14</v>
      </c>
      <c r="E766" s="25" t="s">
        <v>365</v>
      </c>
      <c r="O766" s="118"/>
    </row>
    <row r="767" spans="1:22" x14ac:dyDescent="0.3">
      <c r="B767">
        <v>9.1</v>
      </c>
      <c r="E767" s="8" t="s">
        <v>8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f>IF($B$766=12,'payment summary to Trustee'!$AW767,('payment summary to Trustee'!$BD767-'CDE Intercept  '!$T767)/4)</f>
        <v>0</v>
      </c>
      <c r="L767" s="3">
        <f>IF($B$766=12,'payment summary to Trustee'!$AW767,('payment summary to Trustee'!$BD767-'CDE Intercept  '!$T767)/4)</f>
        <v>0</v>
      </c>
      <c r="M767" s="3">
        <f>IF($B$766=12,'payment summary to Trustee'!$AW767,('payment summary to Trustee'!$BD767-'CDE Intercept  '!$T767)/4)</f>
        <v>0</v>
      </c>
      <c r="N767" s="3">
        <v>0</v>
      </c>
      <c r="O767" s="118">
        <f>IF($B$766=12,'payment summary to Trustee'!$AW767,('payment summary to Trustee'!$BD767-'CDE Intercept  '!$T767)/4)</f>
        <v>0</v>
      </c>
      <c r="P767" s="3">
        <v>0</v>
      </c>
      <c r="Q767" s="3">
        <v>0</v>
      </c>
      <c r="R767" s="3">
        <f>SUM(F767:Q767)</f>
        <v>0</v>
      </c>
      <c r="T767" s="3">
        <f>SUM(F767:J767)</f>
        <v>0</v>
      </c>
      <c r="U767" s="93">
        <f>SUM(K767:Q767)</f>
        <v>0</v>
      </c>
      <c r="V767" s="11">
        <f>SUM(T767:U767)-R767</f>
        <v>0</v>
      </c>
    </row>
    <row r="768" spans="1:22" x14ac:dyDescent="0.3">
      <c r="B768">
        <v>9.1999999999999993</v>
      </c>
      <c r="E768" s="8" t="s">
        <v>9</v>
      </c>
      <c r="F768" s="3">
        <v>250</v>
      </c>
      <c r="G768" s="3">
        <v>0</v>
      </c>
      <c r="H768" s="3">
        <v>0</v>
      </c>
      <c r="I768" s="3">
        <v>0</v>
      </c>
      <c r="J768" s="3">
        <v>0</v>
      </c>
      <c r="K768" s="3">
        <f>IF($B$766=12,'payment summary to Trustee'!$AW768,('payment summary to Trustee'!$BD768-'CDE Intercept  '!$T768)/4)</f>
        <v>0</v>
      </c>
      <c r="L768" s="3">
        <f>IF($B$766=12,'payment summary to Trustee'!$AW768,('payment summary to Trustee'!$BD768-'CDE Intercept  '!$T768)/4)</f>
        <v>0</v>
      </c>
      <c r="M768" s="3">
        <f>IF($B$766=12,'payment summary to Trustee'!$AW768,('payment summary to Trustee'!$BD768-'CDE Intercept  '!$T768)/4)</f>
        <v>0</v>
      </c>
      <c r="N768" s="3">
        <v>0</v>
      </c>
      <c r="O768" s="118">
        <f>IF($B$766=12,'payment summary to Trustee'!$AW768,('payment summary to Trustee'!$BD768-'CDE Intercept  '!$T768)/4)</f>
        <v>0</v>
      </c>
      <c r="P768" s="3">
        <v>0</v>
      </c>
      <c r="Q768" s="3">
        <v>0</v>
      </c>
      <c r="R768" s="3">
        <f>SUM(F768:Q768)</f>
        <v>250</v>
      </c>
      <c r="T768" s="3">
        <f t="shared" ref="T768:T769" si="312">SUM(F768:J768)</f>
        <v>250</v>
      </c>
      <c r="U768" s="93">
        <f>SUM(K768:Q768)</f>
        <v>0</v>
      </c>
      <c r="V768" s="11">
        <f>SUM(T768:U768)-R768</f>
        <v>0</v>
      </c>
    </row>
    <row r="769" spans="1:22" ht="13.5" thickBot="1" x14ac:dyDescent="0.35">
      <c r="A769" t="s">
        <v>366</v>
      </c>
      <c r="B769">
        <v>9.3000000000000007</v>
      </c>
      <c r="E769" s="8" t="s">
        <v>10</v>
      </c>
      <c r="F769" s="3">
        <f>25833.33+75445.83</f>
        <v>101279.16</v>
      </c>
      <c r="G769" s="3">
        <f t="shared" ref="G769:J769" si="313">25833.33+75445.83</f>
        <v>101279.16</v>
      </c>
      <c r="H769" s="3">
        <f t="shared" si="313"/>
        <v>101279.16</v>
      </c>
      <c r="I769" s="3">
        <f t="shared" si="313"/>
        <v>101279.16</v>
      </c>
      <c r="J769" s="3">
        <f t="shared" si="313"/>
        <v>101279.16</v>
      </c>
      <c r="K769" s="3">
        <f>IF($B$766=12,'payment summary to Trustee'!$AW769,('payment summary to Trustee'!$BD769-'CDE Intercept  '!$T769)/4)</f>
        <v>177238.55000000005</v>
      </c>
      <c r="L769" s="3">
        <f>IF($B$766=12,'payment summary to Trustee'!$AW769,('payment summary to Trustee'!$BD769-'CDE Intercept  '!$T769)/4)</f>
        <v>177238.55000000005</v>
      </c>
      <c r="M769" s="3">
        <f>IF($B$766=12,'payment summary to Trustee'!$AW769,('payment summary to Trustee'!$BD769-'CDE Intercept  '!$T769)/4)</f>
        <v>177238.55000000005</v>
      </c>
      <c r="N769" s="3">
        <v>0</v>
      </c>
      <c r="O769" s="118">
        <f>IF($B$766=12,'payment summary to Trustee'!$AW769,('payment summary to Trustee'!$BD769-'CDE Intercept  '!$T769)/4)</f>
        <v>177238.55000000005</v>
      </c>
      <c r="P769" s="3">
        <v>0</v>
      </c>
      <c r="Q769" s="3">
        <v>0</v>
      </c>
      <c r="R769" s="3">
        <f>SUM(F769:Q769)</f>
        <v>1215350.0000000002</v>
      </c>
      <c r="T769" s="3">
        <f t="shared" si="312"/>
        <v>506395.80000000005</v>
      </c>
      <c r="U769" s="94">
        <f>SUM(K769:Q769)</f>
        <v>708954.20000000019</v>
      </c>
      <c r="V769" s="11">
        <f>SUM(T769:U769)-R769</f>
        <v>0</v>
      </c>
    </row>
    <row r="770" spans="1:22" ht="13.5" thickBot="1" x14ac:dyDescent="0.35">
      <c r="E770" s="13" t="s">
        <v>367</v>
      </c>
      <c r="F770" s="22">
        <f t="shared" ref="F770:R770" si="314">SUM(F767:F769)</f>
        <v>101529.16</v>
      </c>
      <c r="G770" s="22">
        <f t="shared" si="314"/>
        <v>101279.16</v>
      </c>
      <c r="H770" s="22">
        <f t="shared" si="314"/>
        <v>101279.16</v>
      </c>
      <c r="I770" s="22">
        <f t="shared" si="314"/>
        <v>101279.16</v>
      </c>
      <c r="J770" s="22">
        <f t="shared" si="314"/>
        <v>101279.16</v>
      </c>
      <c r="K770" s="22">
        <f t="shared" si="314"/>
        <v>177238.55000000005</v>
      </c>
      <c r="L770" s="22">
        <f t="shared" si="314"/>
        <v>177238.55000000005</v>
      </c>
      <c r="M770" s="22">
        <f t="shared" si="314"/>
        <v>177238.55000000005</v>
      </c>
      <c r="N770" s="22">
        <f t="shared" si="314"/>
        <v>0</v>
      </c>
      <c r="O770" s="119">
        <f t="shared" si="314"/>
        <v>177238.55000000005</v>
      </c>
      <c r="P770" s="22">
        <f t="shared" ref="P770" si="315">SUM(P767:P769)</f>
        <v>0</v>
      </c>
      <c r="Q770" s="22">
        <f t="shared" si="314"/>
        <v>0</v>
      </c>
      <c r="R770" s="22">
        <f t="shared" si="314"/>
        <v>1215600.0000000002</v>
      </c>
      <c r="T770" s="39">
        <f>SUM(T767:T769)</f>
        <v>506645.80000000005</v>
      </c>
      <c r="U770" s="78">
        <f>SUM(U767:U769)</f>
        <v>708954.20000000019</v>
      </c>
      <c r="V770" s="11">
        <f>SUM(T770:U770)-R770</f>
        <v>0</v>
      </c>
    </row>
    <row r="771" spans="1:22" x14ac:dyDescent="0.3">
      <c r="E771" s="15"/>
      <c r="O771" s="118"/>
    </row>
    <row r="772" spans="1:22" ht="15.5" x14ac:dyDescent="0.35">
      <c r="B772">
        <v>12</v>
      </c>
      <c r="C772" s="20">
        <f>+C766+1</f>
        <v>92</v>
      </c>
      <c r="D772" s="1" t="s">
        <v>14</v>
      </c>
      <c r="E772" s="25" t="s">
        <v>368</v>
      </c>
      <c r="O772" s="118"/>
    </row>
    <row r="773" spans="1:22" x14ac:dyDescent="0.3">
      <c r="B773">
        <v>12.1</v>
      </c>
      <c r="E773" s="8" t="s">
        <v>8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118">
        <v>0</v>
      </c>
      <c r="P773" s="3">
        <v>0</v>
      </c>
      <c r="Q773" s="3">
        <v>0</v>
      </c>
      <c r="R773" s="3">
        <f>SUM(F773:Q773)</f>
        <v>0</v>
      </c>
      <c r="T773" s="3">
        <f>SUM(F773:J773)</f>
        <v>0</v>
      </c>
      <c r="U773" s="93">
        <f>SUM(K773:Q773)</f>
        <v>0</v>
      </c>
      <c r="V773" s="11">
        <f>SUM(T773:U773)-R773</f>
        <v>0</v>
      </c>
    </row>
    <row r="774" spans="1:22" x14ac:dyDescent="0.3">
      <c r="B774">
        <v>12.2</v>
      </c>
      <c r="E774" s="8" t="s">
        <v>9</v>
      </c>
      <c r="F774" s="3">
        <v>250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118">
        <v>0</v>
      </c>
      <c r="P774" s="3">
        <v>0</v>
      </c>
      <c r="Q774" s="3">
        <v>0</v>
      </c>
      <c r="R774" s="3">
        <f>SUM(F774:Q774)</f>
        <v>250</v>
      </c>
      <c r="T774" s="3">
        <f t="shared" ref="T774:T775" si="316">SUM(F774:J774)</f>
        <v>250</v>
      </c>
      <c r="U774" s="93">
        <f>SUM(K774:Q774)</f>
        <v>0</v>
      </c>
      <c r="V774" s="11">
        <f>SUM(T774:U774)-R774</f>
        <v>0</v>
      </c>
    </row>
    <row r="775" spans="1:22" ht="13.5" thickBot="1" x14ac:dyDescent="0.35">
      <c r="A775" t="s">
        <v>369</v>
      </c>
      <c r="B775">
        <v>12.3</v>
      </c>
      <c r="E775" s="8" t="s">
        <v>10</v>
      </c>
      <c r="F775" s="3">
        <f>10833.34+38033.34</f>
        <v>48866.679999999993</v>
      </c>
      <c r="G775" s="3">
        <f t="shared" ref="G775:J775" si="317">10833.34+38033.34</f>
        <v>48866.679999999993</v>
      </c>
      <c r="H775" s="3">
        <f t="shared" si="317"/>
        <v>48866.679999999993</v>
      </c>
      <c r="I775" s="3">
        <f t="shared" si="317"/>
        <v>48866.679999999993</v>
      </c>
      <c r="J775" s="3">
        <f t="shared" si="317"/>
        <v>48866.679999999993</v>
      </c>
      <c r="K775" s="3">
        <f>10833.26+38033.26</f>
        <v>48866.520000000004</v>
      </c>
      <c r="L775" s="3">
        <f>11666.67+37600</f>
        <v>49266.67</v>
      </c>
      <c r="M775" s="3">
        <f t="shared" ref="M775:Q775" si="318">11666.67+37600</f>
        <v>49266.67</v>
      </c>
      <c r="N775" s="3">
        <f t="shared" si="318"/>
        <v>49266.67</v>
      </c>
      <c r="O775" s="118">
        <f t="shared" si="318"/>
        <v>49266.67</v>
      </c>
      <c r="P775" s="3">
        <f t="shared" si="318"/>
        <v>49266.67</v>
      </c>
      <c r="Q775" s="3">
        <f t="shared" si="318"/>
        <v>49266.67</v>
      </c>
      <c r="R775" s="3">
        <f>SUM(F775:Q775)</f>
        <v>588799.93999999994</v>
      </c>
      <c r="T775" s="3">
        <f t="shared" si="316"/>
        <v>244333.39999999997</v>
      </c>
      <c r="U775" s="94">
        <f>SUM(K775:Q775)</f>
        <v>344466.53999999992</v>
      </c>
      <c r="V775" s="11">
        <f>SUM(T775:U775)-R775</f>
        <v>0</v>
      </c>
    </row>
    <row r="776" spans="1:22" ht="13.5" thickBot="1" x14ac:dyDescent="0.35">
      <c r="E776" s="13" t="s">
        <v>261</v>
      </c>
      <c r="F776" s="22">
        <f t="shared" ref="F776:R776" si="319">SUM(F773:F775)</f>
        <v>49116.679999999993</v>
      </c>
      <c r="G776" s="22">
        <f t="shared" si="319"/>
        <v>48866.679999999993</v>
      </c>
      <c r="H776" s="22">
        <f t="shared" si="319"/>
        <v>48866.679999999993</v>
      </c>
      <c r="I776" s="22">
        <f t="shared" si="319"/>
        <v>48866.679999999993</v>
      </c>
      <c r="J776" s="22">
        <f t="shared" si="319"/>
        <v>48866.679999999993</v>
      </c>
      <c r="K776" s="22">
        <f t="shared" si="319"/>
        <v>48866.520000000004</v>
      </c>
      <c r="L776" s="22">
        <f t="shared" si="319"/>
        <v>49266.67</v>
      </c>
      <c r="M776" s="22">
        <f t="shared" si="319"/>
        <v>49266.67</v>
      </c>
      <c r="N776" s="22">
        <f t="shared" si="319"/>
        <v>49266.67</v>
      </c>
      <c r="O776" s="119">
        <f t="shared" si="319"/>
        <v>49266.67</v>
      </c>
      <c r="P776" s="22">
        <f t="shared" si="319"/>
        <v>49266.67</v>
      </c>
      <c r="Q776" s="22">
        <f t="shared" si="319"/>
        <v>49266.67</v>
      </c>
      <c r="R776" s="22">
        <f t="shared" si="319"/>
        <v>589049.93999999994</v>
      </c>
      <c r="T776" s="39">
        <f>SUM(T773:T775)</f>
        <v>244583.39999999997</v>
      </c>
      <c r="U776" s="78">
        <f>SUM(U773:U775)</f>
        <v>344466.53999999992</v>
      </c>
      <c r="V776" s="11">
        <f>SUM(T776:U776)-R776</f>
        <v>0</v>
      </c>
    </row>
    <row r="777" spans="1:22" x14ac:dyDescent="0.3">
      <c r="E777" s="15"/>
      <c r="O777" s="118"/>
    </row>
    <row r="778" spans="1:22" ht="15.5" x14ac:dyDescent="0.35">
      <c r="B778">
        <v>9</v>
      </c>
      <c r="C778" s="20">
        <f>+C772+1</f>
        <v>93</v>
      </c>
      <c r="D778" s="1" t="s">
        <v>14</v>
      </c>
      <c r="E778" s="25" t="s">
        <v>370</v>
      </c>
      <c r="O778" s="118"/>
    </row>
    <row r="779" spans="1:22" x14ac:dyDescent="0.3">
      <c r="B779">
        <v>9.1</v>
      </c>
      <c r="E779" s="8" t="s">
        <v>8</v>
      </c>
      <c r="F779" s="3">
        <v>741.25</v>
      </c>
      <c r="G779" s="3">
        <v>741.25</v>
      </c>
      <c r="H779" s="3">
        <v>741.25</v>
      </c>
      <c r="I779" s="3">
        <v>741.25</v>
      </c>
      <c r="J779" s="3">
        <v>741.25</v>
      </c>
      <c r="K779" s="3">
        <f>IF($B$778=12,'payment summary to Trustee'!$AW779,('payment summary to Trustee'!$BD779-'CDE Intercept  '!$T779)/4)</f>
        <v>1279.6824999999999</v>
      </c>
      <c r="L779" s="3">
        <f>IF($B$778=12,'payment summary to Trustee'!$AW779,('payment summary to Trustee'!$BD779-'CDE Intercept  '!$T779)/4)</f>
        <v>1279.6824999999999</v>
      </c>
      <c r="M779" s="3">
        <f>IF($B$778=12,'payment summary to Trustee'!$AW779,('payment summary to Trustee'!$BD779-'CDE Intercept  '!$T779)/4)</f>
        <v>1279.6824999999999</v>
      </c>
      <c r="N779" s="3">
        <v>0</v>
      </c>
      <c r="O779" s="118">
        <f>IF($B$778=12,'payment summary to Trustee'!$AW779,('payment summary to Trustee'!$BD779-'CDE Intercept  '!$T779)/4)</f>
        <v>1279.6824999999999</v>
      </c>
      <c r="P779" s="3">
        <v>0</v>
      </c>
      <c r="Q779" s="3">
        <v>0</v>
      </c>
      <c r="R779" s="3">
        <f>SUM(F779:Q779)</f>
        <v>8824.98</v>
      </c>
      <c r="T779" s="3">
        <f>SUM(F779:J779)</f>
        <v>3706.25</v>
      </c>
      <c r="U779" s="93">
        <f>SUM(K779:Q779)</f>
        <v>5118.7299999999996</v>
      </c>
      <c r="V779" s="11">
        <f>SUM(T779:U779)-R779</f>
        <v>0</v>
      </c>
    </row>
    <row r="780" spans="1:22" x14ac:dyDescent="0.3">
      <c r="B780">
        <v>9.1999999999999993</v>
      </c>
      <c r="E780" s="8" t="s">
        <v>9</v>
      </c>
      <c r="F780" s="3">
        <v>250</v>
      </c>
      <c r="G780" s="3">
        <v>0</v>
      </c>
      <c r="H780" s="3">
        <v>0</v>
      </c>
      <c r="I780" s="3">
        <v>0</v>
      </c>
      <c r="J780" s="3">
        <v>0</v>
      </c>
      <c r="K780" s="3">
        <f>IF($B$778=12,'payment summary to Trustee'!$AW780,('payment summary to Trustee'!$BD780-'CDE Intercept  '!$T780)/4)</f>
        <v>0</v>
      </c>
      <c r="L780" s="3">
        <f>IF($B$778=12,'payment summary to Trustee'!$AW780,('payment summary to Trustee'!$BD780-'CDE Intercept  '!$T780)/4)</f>
        <v>0</v>
      </c>
      <c r="M780" s="3">
        <f>IF($B$778=12,'payment summary to Trustee'!$AW780,('payment summary to Trustee'!$BD780-'CDE Intercept  '!$T780)/4)</f>
        <v>0</v>
      </c>
      <c r="N780" s="3">
        <v>0</v>
      </c>
      <c r="O780" s="118">
        <f>IF($B$778=12,'payment summary to Trustee'!$AW780,('payment summary to Trustee'!$BD780-'CDE Intercept  '!$T780)/4)</f>
        <v>0</v>
      </c>
      <c r="P780" s="3">
        <v>0</v>
      </c>
      <c r="Q780" s="3">
        <v>0</v>
      </c>
      <c r="R780" s="3">
        <f>SUM(F780:Q780)</f>
        <v>250</v>
      </c>
      <c r="T780" s="3">
        <f t="shared" ref="T780:T781" si="320">SUM(F780:J780)</f>
        <v>250</v>
      </c>
      <c r="U780" s="93">
        <f>SUM(K780:Q780)</f>
        <v>0</v>
      </c>
      <c r="V780" s="11">
        <f>SUM(T780:U780)-R780</f>
        <v>0</v>
      </c>
    </row>
    <row r="781" spans="1:22" ht="13.5" thickBot="1" x14ac:dyDescent="0.35">
      <c r="A781" t="s">
        <v>371</v>
      </c>
      <c r="B781">
        <v>9.3000000000000007</v>
      </c>
      <c r="E781" s="8" t="s">
        <v>10</v>
      </c>
      <c r="F781" s="3">
        <f>11666.67+29183.33</f>
        <v>40850</v>
      </c>
      <c r="G781" s="3">
        <f t="shared" ref="G781:J781" si="321">11666.67+29183.33</f>
        <v>40850</v>
      </c>
      <c r="H781" s="3">
        <f t="shared" si="321"/>
        <v>40850</v>
      </c>
      <c r="I781" s="3">
        <f t="shared" si="321"/>
        <v>40850</v>
      </c>
      <c r="J781" s="3">
        <f t="shared" si="321"/>
        <v>40850</v>
      </c>
      <c r="K781" s="3">
        <f>IF($B$778=12,'payment summary to Trustee'!$AW781,('payment summary to Trustee'!$BD781-'CDE Intercept  '!$T781)/4)</f>
        <v>71487.5</v>
      </c>
      <c r="L781" s="3">
        <f>IF($B$778=12,'payment summary to Trustee'!$AW781,('payment summary to Trustee'!$BD781-'CDE Intercept  '!$T781)/4)</f>
        <v>71487.5</v>
      </c>
      <c r="M781" s="3">
        <f>IF($B$778=12,'payment summary to Trustee'!$AW781,('payment summary to Trustee'!$BD781-'CDE Intercept  '!$T781)/4)</f>
        <v>71487.5</v>
      </c>
      <c r="N781" s="3">
        <v>0</v>
      </c>
      <c r="O781" s="118">
        <f>IF($B$778=12,'payment summary to Trustee'!$AW781,('payment summary to Trustee'!$BD781-'CDE Intercept  '!$T781)/4)</f>
        <v>71487.5</v>
      </c>
      <c r="P781" s="3">
        <v>0</v>
      </c>
      <c r="Q781" s="3">
        <v>0</v>
      </c>
      <c r="R781" s="3">
        <f>SUM(F781:Q781)</f>
        <v>490200</v>
      </c>
      <c r="T781" s="3">
        <f t="shared" si="320"/>
        <v>204250</v>
      </c>
      <c r="U781" s="94">
        <f>SUM(K781:Q781)</f>
        <v>285950</v>
      </c>
      <c r="V781" s="11">
        <f>SUM(T781:U781)-R781</f>
        <v>0</v>
      </c>
    </row>
    <row r="782" spans="1:22" ht="13.5" thickBot="1" x14ac:dyDescent="0.35">
      <c r="E782" s="13" t="s">
        <v>372</v>
      </c>
      <c r="F782" s="22">
        <f t="shared" ref="F782:R782" si="322">SUM(F779:F781)</f>
        <v>41841.25</v>
      </c>
      <c r="G782" s="22">
        <f t="shared" si="322"/>
        <v>41591.25</v>
      </c>
      <c r="H782" s="22">
        <f t="shared" si="322"/>
        <v>41591.25</v>
      </c>
      <c r="I782" s="22">
        <f t="shared" si="322"/>
        <v>41591.25</v>
      </c>
      <c r="J782" s="22">
        <f t="shared" si="322"/>
        <v>41591.25</v>
      </c>
      <c r="K782" s="22">
        <f t="shared" si="322"/>
        <v>72767.182499999995</v>
      </c>
      <c r="L782" s="22">
        <f t="shared" si="322"/>
        <v>72767.182499999995</v>
      </c>
      <c r="M782" s="22">
        <f t="shared" si="322"/>
        <v>72767.182499999995</v>
      </c>
      <c r="N782" s="22">
        <f t="shared" si="322"/>
        <v>0</v>
      </c>
      <c r="O782" s="119">
        <f t="shared" si="322"/>
        <v>72767.182499999995</v>
      </c>
      <c r="P782" s="22">
        <f t="shared" ref="P782" si="323">SUM(P779:P781)</f>
        <v>0</v>
      </c>
      <c r="Q782" s="22">
        <f t="shared" si="322"/>
        <v>0</v>
      </c>
      <c r="R782" s="22">
        <f t="shared" si="322"/>
        <v>499274.98</v>
      </c>
      <c r="T782" s="39">
        <f>SUM(T779:T781)</f>
        <v>208206.25</v>
      </c>
      <c r="U782" s="78">
        <f>SUM(U779:U781)</f>
        <v>291068.73</v>
      </c>
      <c r="V782" s="11">
        <f>SUM(T782:U782)-R782</f>
        <v>0</v>
      </c>
    </row>
    <row r="783" spans="1:22" x14ac:dyDescent="0.3">
      <c r="E783" s="15"/>
      <c r="O783" s="118"/>
    </row>
    <row r="784" spans="1:22" ht="15.5" x14ac:dyDescent="0.35">
      <c r="B784">
        <v>9</v>
      </c>
      <c r="C784" s="20">
        <f>+C778+1</f>
        <v>94</v>
      </c>
      <c r="D784" s="1" t="s">
        <v>14</v>
      </c>
      <c r="E784" s="25" t="s">
        <v>373</v>
      </c>
      <c r="O784" s="118"/>
    </row>
    <row r="785" spans="1:22" x14ac:dyDescent="0.3">
      <c r="B785">
        <v>9.1</v>
      </c>
      <c r="E785" s="8" t="s">
        <v>8</v>
      </c>
      <c r="F785" s="3">
        <v>2732.5</v>
      </c>
      <c r="G785" s="3">
        <v>2732.5</v>
      </c>
      <c r="H785" s="3">
        <v>2732.5</v>
      </c>
      <c r="I785" s="3">
        <v>2732.5</v>
      </c>
      <c r="J785" s="3">
        <v>2732.5</v>
      </c>
      <c r="K785" s="3">
        <f>IF($B$784=12,'payment summary to Trustee'!$AW785,('payment summary to Trustee'!$BD785-'CDE Intercept  '!$T785)/4)</f>
        <v>4729.2749999999978</v>
      </c>
      <c r="L785" s="3">
        <f>IF($B$784=12,'payment summary to Trustee'!$AW785,('payment summary to Trustee'!$BD785-'CDE Intercept  '!$T785)/4)</f>
        <v>4729.2749999999978</v>
      </c>
      <c r="M785" s="3">
        <f>IF($B$784=12,'payment summary to Trustee'!$AW785,('payment summary to Trustee'!$BD785-'CDE Intercept  '!$T785)/4)</f>
        <v>4729.2749999999978</v>
      </c>
      <c r="N785" s="3">
        <v>0</v>
      </c>
      <c r="O785" s="118">
        <f>IF($B$784=12,'payment summary to Trustee'!$AW785,('payment summary to Trustee'!$BD785-'CDE Intercept  '!$T785)/4)</f>
        <v>4729.2749999999978</v>
      </c>
      <c r="P785" s="3">
        <v>0</v>
      </c>
      <c r="Q785" s="3">
        <v>0</v>
      </c>
      <c r="R785" s="3">
        <f>SUM(F785:Q785)</f>
        <v>32579.599999999991</v>
      </c>
      <c r="T785" s="3">
        <f>SUM(F785:J785)</f>
        <v>13662.5</v>
      </c>
      <c r="U785" s="93">
        <f>SUM(K785:Q785)</f>
        <v>18917.099999999991</v>
      </c>
      <c r="V785" s="11">
        <f>SUM(T785:U785)-R785</f>
        <v>0</v>
      </c>
    </row>
    <row r="786" spans="1:22" x14ac:dyDescent="0.3">
      <c r="B786">
        <v>9.1999999999999993</v>
      </c>
      <c r="E786" s="8" t="s">
        <v>9</v>
      </c>
      <c r="F786" s="3">
        <v>250</v>
      </c>
      <c r="G786" s="3">
        <v>0</v>
      </c>
      <c r="H786" s="3">
        <v>0</v>
      </c>
      <c r="I786" s="3">
        <v>0</v>
      </c>
      <c r="J786" s="3">
        <v>0</v>
      </c>
      <c r="K786" s="3">
        <f>IF($B$784=12,'payment summary to Trustee'!$AW786,('payment summary to Trustee'!$BD786-'CDE Intercept  '!$T786)/4)</f>
        <v>0</v>
      </c>
      <c r="L786" s="3">
        <f>IF($B$784=12,'payment summary to Trustee'!$AW786,('payment summary to Trustee'!$BD786-'CDE Intercept  '!$T786)/4)</f>
        <v>0</v>
      </c>
      <c r="M786" s="3">
        <f>IF($B$784=12,'payment summary to Trustee'!$AW786,('payment summary to Trustee'!$BD786-'CDE Intercept  '!$T786)/4)</f>
        <v>0</v>
      </c>
      <c r="N786" s="3">
        <v>0</v>
      </c>
      <c r="O786" s="118">
        <f>IF($B$784=12,'payment summary to Trustee'!$AW786,('payment summary to Trustee'!$BD786-'CDE Intercept  '!$T786)/4)</f>
        <v>0</v>
      </c>
      <c r="P786" s="3">
        <v>0</v>
      </c>
      <c r="Q786" s="3">
        <v>0</v>
      </c>
      <c r="R786" s="3">
        <f>SUM(F786:Q786)</f>
        <v>250</v>
      </c>
      <c r="T786" s="3">
        <f t="shared" ref="T786:T787" si="324">SUM(F786:J786)</f>
        <v>250</v>
      </c>
      <c r="U786" s="93">
        <f>SUM(K786:Q786)</f>
        <v>0</v>
      </c>
      <c r="V786" s="11">
        <f>SUM(T786:U786)-R786</f>
        <v>0</v>
      </c>
    </row>
    <row r="787" spans="1:22" ht="13.5" thickBot="1" x14ac:dyDescent="0.35">
      <c r="A787" t="s">
        <v>374</v>
      </c>
      <c r="B787">
        <v>9.3000000000000007</v>
      </c>
      <c r="E787" s="8" t="s">
        <v>10</v>
      </c>
      <c r="F787" s="3">
        <f>43333.33+107516.67</f>
        <v>150850</v>
      </c>
      <c r="G787" s="3">
        <f>43333.33+107516.67</f>
        <v>150850</v>
      </c>
      <c r="H787" s="3">
        <f t="shared" ref="H787:I787" si="325">43333.33+107516.67</f>
        <v>150850</v>
      </c>
      <c r="I787" s="3">
        <f t="shared" si="325"/>
        <v>150850</v>
      </c>
      <c r="J787" s="3">
        <f>43333.33+107516.65</f>
        <v>150849.97999999998</v>
      </c>
      <c r="K787" s="3">
        <f>IF($B$784=12,'payment summary to Trustee'!$AW787,('payment summary to Trustee'!$BD787-'CDE Intercept  '!$T787)/4)</f>
        <v>263891.67</v>
      </c>
      <c r="L787" s="3">
        <f>IF($B$784=12,'payment summary to Trustee'!$AW787,('payment summary to Trustee'!$BD787-'CDE Intercept  '!$T787)/4)</f>
        <v>263891.67</v>
      </c>
      <c r="M787" s="3">
        <f>IF($B$784=12,'payment summary to Trustee'!$AW787,('payment summary to Trustee'!$BD787-'CDE Intercept  '!$T787)/4)</f>
        <v>263891.67</v>
      </c>
      <c r="N787" s="3">
        <v>0</v>
      </c>
      <c r="O787" s="118">
        <f>IF($B$784=12,'payment summary to Trustee'!$AW787,('payment summary to Trustee'!$BD787-'CDE Intercept  '!$T787)/4)</f>
        <v>263891.67</v>
      </c>
      <c r="P787" s="3">
        <v>0</v>
      </c>
      <c r="Q787" s="3">
        <v>0</v>
      </c>
      <c r="R787" s="3">
        <f>SUM(F787:Q787)</f>
        <v>1809816.6599999997</v>
      </c>
      <c r="T787" s="3">
        <f t="shared" si="324"/>
        <v>754249.98</v>
      </c>
      <c r="U787" s="94">
        <f>SUM(K787:Q787)</f>
        <v>1055566.68</v>
      </c>
      <c r="V787" s="11">
        <f>SUM(T787:U787)-R787</f>
        <v>0</v>
      </c>
    </row>
    <row r="788" spans="1:22" ht="13.5" thickBot="1" x14ac:dyDescent="0.35">
      <c r="E788" s="13" t="s">
        <v>165</v>
      </c>
      <c r="F788" s="22">
        <f t="shared" ref="F788:R788" si="326">SUM(F785:F787)</f>
        <v>153832.5</v>
      </c>
      <c r="G788" s="22">
        <f t="shared" si="326"/>
        <v>153582.5</v>
      </c>
      <c r="H788" s="22">
        <f t="shared" si="326"/>
        <v>153582.5</v>
      </c>
      <c r="I788" s="22">
        <f t="shared" si="326"/>
        <v>153582.5</v>
      </c>
      <c r="J788" s="22">
        <f t="shared" si="326"/>
        <v>153582.47999999998</v>
      </c>
      <c r="K788" s="22">
        <f t="shared" si="326"/>
        <v>268620.94500000001</v>
      </c>
      <c r="L788" s="22">
        <f t="shared" si="326"/>
        <v>268620.94500000001</v>
      </c>
      <c r="M788" s="22">
        <f t="shared" si="326"/>
        <v>268620.94500000001</v>
      </c>
      <c r="N788" s="22">
        <f t="shared" si="326"/>
        <v>0</v>
      </c>
      <c r="O788" s="119">
        <f t="shared" si="326"/>
        <v>268620.94500000001</v>
      </c>
      <c r="P788" s="22">
        <f t="shared" ref="P788" si="327">SUM(P785:P787)</f>
        <v>0</v>
      </c>
      <c r="Q788" s="22">
        <f t="shared" si="326"/>
        <v>0</v>
      </c>
      <c r="R788" s="22">
        <f t="shared" si="326"/>
        <v>1842646.2599999998</v>
      </c>
      <c r="T788" s="39">
        <f>SUM(T785:T787)</f>
        <v>768162.48</v>
      </c>
      <c r="U788" s="78">
        <f>SUM(U785:U787)</f>
        <v>1074483.78</v>
      </c>
      <c r="V788" s="11">
        <f>SUM(T788:U788)-R788</f>
        <v>0</v>
      </c>
    </row>
    <row r="789" spans="1:22" x14ac:dyDescent="0.3">
      <c r="E789" s="15"/>
      <c r="O789" s="118"/>
      <c r="V789" s="40"/>
    </row>
    <row r="790" spans="1:22" ht="15.5" x14ac:dyDescent="0.35">
      <c r="B790">
        <v>9</v>
      </c>
      <c r="C790" s="20">
        <f>+C784+1</f>
        <v>95</v>
      </c>
      <c r="D790" s="1" t="s">
        <v>14</v>
      </c>
      <c r="E790" s="25" t="s">
        <v>375</v>
      </c>
      <c r="O790" s="118"/>
      <c r="V790" s="40"/>
    </row>
    <row r="791" spans="1:22" x14ac:dyDescent="0.3">
      <c r="B791">
        <v>9.1</v>
      </c>
      <c r="E791" s="8" t="s">
        <v>8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f>IF($B$790=12,'payment summary to Trustee'!$AW791,('payment summary to Trustee'!$BD791-'CDE Intercept  '!$T791)/4)</f>
        <v>0</v>
      </c>
      <c r="L791" s="3">
        <f>IF($B$790=12,'payment summary to Trustee'!$AW791,('payment summary to Trustee'!$BD791-'CDE Intercept  '!$T791)/4)</f>
        <v>0</v>
      </c>
      <c r="M791" s="3">
        <f>IF($B$790=12,'payment summary to Trustee'!$AW791,('payment summary to Trustee'!$BD791-'CDE Intercept  '!$T791)/4)</f>
        <v>0</v>
      </c>
      <c r="N791" s="3">
        <v>0</v>
      </c>
      <c r="O791" s="118">
        <f>IF($B$790=12,'payment summary to Trustee'!$AW791,('payment summary to Trustee'!$BD791-'CDE Intercept  '!$T791)/4)</f>
        <v>0</v>
      </c>
      <c r="P791" s="3">
        <v>0</v>
      </c>
      <c r="Q791" s="3">
        <v>0</v>
      </c>
      <c r="R791" s="3">
        <f>SUM(F791:Q791)</f>
        <v>0</v>
      </c>
      <c r="T791" s="3">
        <f>SUM(F791:J791)</f>
        <v>0</v>
      </c>
      <c r="U791" s="93">
        <f>SUM(K791:Q791)</f>
        <v>0</v>
      </c>
      <c r="V791" s="11">
        <f>SUM(T791:U791)-R791</f>
        <v>0</v>
      </c>
    </row>
    <row r="792" spans="1:22" x14ac:dyDescent="0.3">
      <c r="B792">
        <v>9.1999999999999993</v>
      </c>
      <c r="E792" s="8" t="s">
        <v>9</v>
      </c>
      <c r="F792" s="3">
        <v>250</v>
      </c>
      <c r="G792" s="3">
        <v>0</v>
      </c>
      <c r="H792" s="3">
        <v>0</v>
      </c>
      <c r="I792" s="3">
        <v>0</v>
      </c>
      <c r="J792" s="3">
        <v>0</v>
      </c>
      <c r="K792" s="3">
        <f>IF($B$790=12,'payment summary to Trustee'!$AW792,('payment summary to Trustee'!$BD792-'CDE Intercept  '!$T792)/4)</f>
        <v>0</v>
      </c>
      <c r="L792" s="3">
        <f>IF($B$790=12,'payment summary to Trustee'!$AW792,('payment summary to Trustee'!$BD792-'CDE Intercept  '!$T792)/4)</f>
        <v>0</v>
      </c>
      <c r="M792" s="3">
        <f>IF($B$790=12,'payment summary to Trustee'!$AW792,('payment summary to Trustee'!$BD792-'CDE Intercept  '!$T792)/4)</f>
        <v>0</v>
      </c>
      <c r="N792" s="3">
        <v>0</v>
      </c>
      <c r="O792" s="118">
        <f>IF($B$790=12,'payment summary to Trustee'!$AW792,('payment summary to Trustee'!$BD792-'CDE Intercept  '!$T792)/4)</f>
        <v>0</v>
      </c>
      <c r="P792" s="3">
        <v>0</v>
      </c>
      <c r="Q792" s="3">
        <v>0</v>
      </c>
      <c r="R792" s="3">
        <f>SUM(F792:Q792)</f>
        <v>250</v>
      </c>
      <c r="T792" s="3">
        <f t="shared" ref="T792:T793" si="328">SUM(F792:J792)</f>
        <v>250</v>
      </c>
      <c r="U792" s="93">
        <f>SUM(K792:Q792)</f>
        <v>0</v>
      </c>
      <c r="V792" s="11">
        <f>SUM(T792:U792)-R792</f>
        <v>0</v>
      </c>
    </row>
    <row r="793" spans="1:22" ht="13.5" thickBot="1" x14ac:dyDescent="0.35">
      <c r="A793" t="s">
        <v>376</v>
      </c>
      <c r="B793">
        <v>9.3000000000000007</v>
      </c>
      <c r="E793" s="8" t="s">
        <v>10</v>
      </c>
      <c r="F793" s="3">
        <f>73845.83-41827.58</f>
        <v>32018.25</v>
      </c>
      <c r="G793" s="3">
        <f t="shared" ref="G793:I793" si="329">73845.83-41827.58</f>
        <v>32018.25</v>
      </c>
      <c r="H793" s="3">
        <f t="shared" si="329"/>
        <v>32018.25</v>
      </c>
      <c r="I793" s="3">
        <f t="shared" si="329"/>
        <v>32018.25</v>
      </c>
      <c r="J793" s="3">
        <f>73845.84-41827.59</f>
        <v>32018.25</v>
      </c>
      <c r="K793" s="3">
        <f>IF($B$790=12,'payment summary to Trustee'!$AW793,('payment summary to Trustee'!$BD793-'CDE Intercept  '!$T793)/4)</f>
        <v>118773.3125</v>
      </c>
      <c r="L793" s="3">
        <f>IF($B$790=12,'payment summary to Trustee'!$AW793,('payment summary to Trustee'!$BD793-'CDE Intercept  '!$T793)/4)</f>
        <v>118773.3125</v>
      </c>
      <c r="M793" s="3">
        <f>IF($B$790=12,'payment summary to Trustee'!$AW793,('payment summary to Trustee'!$BD793-'CDE Intercept  '!$T793)/4)</f>
        <v>118773.3125</v>
      </c>
      <c r="N793" s="3">
        <v>0</v>
      </c>
      <c r="O793" s="118">
        <f>IF($B$790=12,'payment summary to Trustee'!$AW793,('payment summary to Trustee'!$BD793-'CDE Intercept  '!$T793)/4)</f>
        <v>118773.3125</v>
      </c>
      <c r="P793" s="3">
        <v>0</v>
      </c>
      <c r="Q793" s="3">
        <v>0</v>
      </c>
      <c r="R793" s="3">
        <f>SUM(F793:Q793)</f>
        <v>635184.5</v>
      </c>
      <c r="T793" s="3">
        <f t="shared" si="328"/>
        <v>160091.25</v>
      </c>
      <c r="U793" s="94">
        <f>SUM(K793:Q793)</f>
        <v>475093.25</v>
      </c>
      <c r="V793" s="11">
        <f>SUM(T793:U793)-R793</f>
        <v>0</v>
      </c>
    </row>
    <row r="794" spans="1:22" ht="13.5" thickBot="1" x14ac:dyDescent="0.35">
      <c r="E794" s="13" t="s">
        <v>377</v>
      </c>
      <c r="F794" s="22">
        <f t="shared" ref="F794:R794" si="330">SUM(F791:F793)</f>
        <v>32268.25</v>
      </c>
      <c r="G794" s="22">
        <f t="shared" si="330"/>
        <v>32018.25</v>
      </c>
      <c r="H794" s="22">
        <f t="shared" si="330"/>
        <v>32018.25</v>
      </c>
      <c r="I794" s="22">
        <f t="shared" si="330"/>
        <v>32018.25</v>
      </c>
      <c r="J794" s="22">
        <f t="shared" si="330"/>
        <v>32018.25</v>
      </c>
      <c r="K794" s="22">
        <f t="shared" si="330"/>
        <v>118773.3125</v>
      </c>
      <c r="L794" s="22">
        <f t="shared" si="330"/>
        <v>118773.3125</v>
      </c>
      <c r="M794" s="22">
        <f t="shared" si="330"/>
        <v>118773.3125</v>
      </c>
      <c r="N794" s="22">
        <f t="shared" si="330"/>
        <v>0</v>
      </c>
      <c r="O794" s="119">
        <f t="shared" si="330"/>
        <v>118773.3125</v>
      </c>
      <c r="P794" s="22">
        <f t="shared" ref="P794" si="331">SUM(P791:P793)</f>
        <v>0</v>
      </c>
      <c r="Q794" s="22">
        <f t="shared" si="330"/>
        <v>0</v>
      </c>
      <c r="R794" s="22">
        <f t="shared" si="330"/>
        <v>635434.5</v>
      </c>
      <c r="T794" s="39">
        <f>SUM(T791:T793)</f>
        <v>160341.25</v>
      </c>
      <c r="U794" s="78">
        <f>SUM(U791:U793)</f>
        <v>475093.25</v>
      </c>
      <c r="V794" s="11">
        <f>SUM(T794:U794)-R794</f>
        <v>0</v>
      </c>
    </row>
    <row r="795" spans="1:22" x14ac:dyDescent="0.3">
      <c r="E795" s="15"/>
      <c r="O795" s="118"/>
    </row>
    <row r="796" spans="1:22" ht="15.5" x14ac:dyDescent="0.35">
      <c r="B796">
        <v>9</v>
      </c>
      <c r="C796" s="20">
        <f>+C790+1</f>
        <v>96</v>
      </c>
      <c r="D796" s="1" t="s">
        <v>14</v>
      </c>
      <c r="E796" s="25" t="s">
        <v>378</v>
      </c>
      <c r="O796" s="118"/>
    </row>
    <row r="797" spans="1:22" x14ac:dyDescent="0.3">
      <c r="B797">
        <v>9.1</v>
      </c>
      <c r="E797" s="8" t="s">
        <v>8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f>IF($B$796=12,'payment summary to Trustee'!$AW797,('payment summary to Trustee'!$BD797-'CDE Intercept  '!$T797)/4)</f>
        <v>0</v>
      </c>
      <c r="L797" s="3">
        <f>IF($B$796=12,'payment summary to Trustee'!$AW797,('payment summary to Trustee'!$BD797-'CDE Intercept  '!$T797)/4)</f>
        <v>0</v>
      </c>
      <c r="M797" s="3">
        <f>IF($B$796=12,'payment summary to Trustee'!$AW797,('payment summary to Trustee'!$BD797-'CDE Intercept  '!$T797)/4)</f>
        <v>0</v>
      </c>
      <c r="N797" s="3">
        <v>0</v>
      </c>
      <c r="O797" s="118">
        <f>IF($B$796=12,'payment summary to Trustee'!$AW797,('payment summary to Trustee'!$BD797-'CDE Intercept  '!$T797)/4)</f>
        <v>0</v>
      </c>
      <c r="P797" s="3">
        <v>0</v>
      </c>
      <c r="Q797" s="3">
        <v>0</v>
      </c>
      <c r="R797" s="3">
        <f>SUM(F797:Q797)</f>
        <v>0</v>
      </c>
      <c r="T797" s="3">
        <f>SUM(F797:J797)</f>
        <v>0</v>
      </c>
      <c r="U797" s="93">
        <f>SUM(K797:Q797)</f>
        <v>0</v>
      </c>
      <c r="V797" s="11">
        <f>SUM(T797:U797)-R797</f>
        <v>0</v>
      </c>
    </row>
    <row r="798" spans="1:22" x14ac:dyDescent="0.3">
      <c r="B798">
        <v>9.1999999999999993</v>
      </c>
      <c r="E798" s="8" t="s">
        <v>9</v>
      </c>
      <c r="F798" s="3">
        <v>250</v>
      </c>
      <c r="G798" s="3">
        <v>0</v>
      </c>
      <c r="H798" s="3">
        <v>0</v>
      </c>
      <c r="I798" s="3">
        <v>0</v>
      </c>
      <c r="J798" s="3">
        <v>0</v>
      </c>
      <c r="K798" s="3">
        <f>IF($B$796=12,'payment summary to Trustee'!$AW798,('payment summary to Trustee'!$BD798-'CDE Intercept  '!$T798)/4)</f>
        <v>0</v>
      </c>
      <c r="L798" s="3">
        <f>IF($B$796=12,'payment summary to Trustee'!$AW798,('payment summary to Trustee'!$BD798-'CDE Intercept  '!$T798)/4)</f>
        <v>0</v>
      </c>
      <c r="M798" s="3">
        <f>IF($B$796=12,'payment summary to Trustee'!$AW798,('payment summary to Trustee'!$BD798-'CDE Intercept  '!$T798)/4)</f>
        <v>0</v>
      </c>
      <c r="N798" s="3">
        <v>0</v>
      </c>
      <c r="O798" s="118">
        <f>IF($B$796=12,'payment summary to Trustee'!$AW798,('payment summary to Trustee'!$BD798-'CDE Intercept  '!$T798)/4)</f>
        <v>0</v>
      </c>
      <c r="P798" s="3">
        <v>0</v>
      </c>
      <c r="Q798" s="3">
        <v>0</v>
      </c>
      <c r="R798" s="3">
        <f>SUM(F798:Q798)</f>
        <v>250</v>
      </c>
      <c r="T798" s="3">
        <f t="shared" ref="T798:T799" si="332">SUM(F798:J798)</f>
        <v>250</v>
      </c>
      <c r="U798" s="93">
        <f>SUM(K798:Q798)</f>
        <v>0</v>
      </c>
      <c r="V798" s="11">
        <f>SUM(T798:U798)-R798</f>
        <v>0</v>
      </c>
    </row>
    <row r="799" spans="1:22" ht="13.5" thickBot="1" x14ac:dyDescent="0.35">
      <c r="A799" t="s">
        <v>379</v>
      </c>
      <c r="B799">
        <v>9.3000000000000007</v>
      </c>
      <c r="E799" s="8" t="s">
        <v>10</v>
      </c>
      <c r="F799" s="3">
        <f>19506.43+9272.35</f>
        <v>28778.78</v>
      </c>
      <c r="G799" s="3">
        <f>19506.43+9217.59</f>
        <v>28724.02</v>
      </c>
      <c r="H799" s="3">
        <f>19506.43+8867.25</f>
        <v>28373.68</v>
      </c>
      <c r="I799" s="3">
        <f>19506.43+9108.07</f>
        <v>28614.5</v>
      </c>
      <c r="J799" s="3">
        <f>19506.43+8761.27</f>
        <v>28267.7</v>
      </c>
      <c r="K799" s="3">
        <f>IF($B$796=12,'payment summary to Trustee'!$AW799,('payment summary to Trustee'!$BD799-'CDE Intercept  '!$T799)/4)</f>
        <v>49240.457499999997</v>
      </c>
      <c r="L799" s="3">
        <f>IF($B$796=12,'payment summary to Trustee'!$AW799,('payment summary to Trustee'!$BD799-'CDE Intercept  '!$T799)/4)</f>
        <v>49240.457499999997</v>
      </c>
      <c r="M799" s="3">
        <f>IF($B$796=12,'payment summary to Trustee'!$AW799,('payment summary to Trustee'!$BD799-'CDE Intercept  '!$T799)/4)</f>
        <v>49240.457499999997</v>
      </c>
      <c r="N799" s="3">
        <v>0</v>
      </c>
      <c r="O799" s="118">
        <f>IF($B$796=12,'payment summary to Trustee'!$AW799,('payment summary to Trustee'!$BD799-'CDE Intercept  '!$T799)/4)</f>
        <v>49240.457499999997</v>
      </c>
      <c r="P799" s="3">
        <v>0</v>
      </c>
      <c r="Q799" s="3">
        <v>0</v>
      </c>
      <c r="R799" s="3">
        <f>SUM(F799:Q799)</f>
        <v>339720.51</v>
      </c>
      <c r="T799" s="3">
        <f t="shared" si="332"/>
        <v>142758.68000000002</v>
      </c>
      <c r="U799" s="94">
        <f>SUM(K799:Q799)</f>
        <v>196961.83</v>
      </c>
      <c r="V799" s="11">
        <f>SUM(T799:U799)-R799</f>
        <v>0</v>
      </c>
    </row>
    <row r="800" spans="1:22" ht="13.5" thickBot="1" x14ac:dyDescent="0.35">
      <c r="E800" s="13" t="s">
        <v>380</v>
      </c>
      <c r="F800" s="22">
        <f t="shared" ref="F800:R800" si="333">SUM(F797:F799)</f>
        <v>29028.78</v>
      </c>
      <c r="G800" s="22">
        <f t="shared" si="333"/>
        <v>28724.02</v>
      </c>
      <c r="H800" s="22">
        <f t="shared" si="333"/>
        <v>28373.68</v>
      </c>
      <c r="I800" s="22">
        <f t="shared" si="333"/>
        <v>28614.5</v>
      </c>
      <c r="J800" s="22">
        <f t="shared" si="333"/>
        <v>28267.7</v>
      </c>
      <c r="K800" s="22">
        <f t="shared" si="333"/>
        <v>49240.457499999997</v>
      </c>
      <c r="L800" s="22">
        <f t="shared" si="333"/>
        <v>49240.457499999997</v>
      </c>
      <c r="M800" s="22">
        <f t="shared" si="333"/>
        <v>49240.457499999997</v>
      </c>
      <c r="N800" s="22">
        <f t="shared" si="333"/>
        <v>0</v>
      </c>
      <c r="O800" s="119">
        <f t="shared" si="333"/>
        <v>49240.457499999997</v>
      </c>
      <c r="P800" s="22">
        <f t="shared" ref="P800" si="334">SUM(P797:P799)</f>
        <v>0</v>
      </c>
      <c r="Q800" s="22">
        <f t="shared" si="333"/>
        <v>0</v>
      </c>
      <c r="R800" s="22">
        <f t="shared" si="333"/>
        <v>339970.51</v>
      </c>
      <c r="T800" s="39">
        <f>SUM(T797:T799)</f>
        <v>143008.68000000002</v>
      </c>
      <c r="U800" s="78">
        <f>SUM(U797:U799)</f>
        <v>196961.83</v>
      </c>
      <c r="V800" s="11">
        <f>SUM(T800:U800)-R800</f>
        <v>0</v>
      </c>
    </row>
    <row r="801" spans="1:22" x14ac:dyDescent="0.3">
      <c r="E801" s="15"/>
      <c r="O801" s="118"/>
    </row>
    <row r="802" spans="1:22" ht="15.5" x14ac:dyDescent="0.35">
      <c r="B802">
        <v>9</v>
      </c>
      <c r="C802" s="20">
        <f>+C796+1</f>
        <v>97</v>
      </c>
      <c r="D802" s="1" t="s">
        <v>14</v>
      </c>
      <c r="E802" s="25" t="s">
        <v>381</v>
      </c>
      <c r="O802" s="118"/>
    </row>
    <row r="803" spans="1:22" x14ac:dyDescent="0.3">
      <c r="B803">
        <v>9.1</v>
      </c>
      <c r="E803" s="8" t="s">
        <v>8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f>IF($B$802=12,'payment summary to Trustee'!$AW803,('payment summary to Trustee'!$BD803-'CDE Intercept  '!$T803)/4)</f>
        <v>0</v>
      </c>
      <c r="L803" s="3">
        <f>IF($B$802=12,'payment summary to Trustee'!$AW803,('payment summary to Trustee'!$BD803-'CDE Intercept  '!$T803)/4)</f>
        <v>0</v>
      </c>
      <c r="M803" s="3">
        <f>IF($B$802=12,'payment summary to Trustee'!$AW803,('payment summary to Trustee'!$BD803-'CDE Intercept  '!$T803)/4)</f>
        <v>0</v>
      </c>
      <c r="N803" s="3">
        <v>0</v>
      </c>
      <c r="O803" s="118">
        <f>IF($B$802=12,'payment summary to Trustee'!$AW803,('payment summary to Trustee'!$BD803-'CDE Intercept  '!$T803)/4)</f>
        <v>0</v>
      </c>
      <c r="P803" s="3">
        <v>0</v>
      </c>
      <c r="Q803" s="3">
        <v>0</v>
      </c>
      <c r="R803" s="3">
        <f>SUM(F803:Q803)</f>
        <v>0</v>
      </c>
      <c r="T803" s="3">
        <f>SUM(F803:J803)</f>
        <v>0</v>
      </c>
      <c r="U803" s="93">
        <f>SUM(K803:Q803)</f>
        <v>0</v>
      </c>
      <c r="V803" s="11">
        <f>SUM(T803:U803)-R803</f>
        <v>0</v>
      </c>
    </row>
    <row r="804" spans="1:22" x14ac:dyDescent="0.3">
      <c r="B804">
        <v>9.1999999999999993</v>
      </c>
      <c r="E804" s="8" t="s">
        <v>9</v>
      </c>
      <c r="F804" s="3">
        <v>250</v>
      </c>
      <c r="G804" s="3">
        <v>0</v>
      </c>
      <c r="H804" s="3">
        <v>0</v>
      </c>
      <c r="I804" s="3">
        <v>0</v>
      </c>
      <c r="J804" s="3">
        <v>0</v>
      </c>
      <c r="K804" s="3">
        <f>IF($B$802=12,'payment summary to Trustee'!$AW804,('payment summary to Trustee'!$BD804-'CDE Intercept  '!$T804)/4)</f>
        <v>0</v>
      </c>
      <c r="L804" s="3">
        <f>IF($B$802=12,'payment summary to Trustee'!$AW804,('payment summary to Trustee'!$BD804-'CDE Intercept  '!$T804)/4)</f>
        <v>0</v>
      </c>
      <c r="M804" s="3">
        <f>IF($B$802=12,'payment summary to Trustee'!$AW804,('payment summary to Trustee'!$BD804-'CDE Intercept  '!$T804)/4)</f>
        <v>0</v>
      </c>
      <c r="N804" s="3">
        <v>0</v>
      </c>
      <c r="O804" s="118">
        <f>IF($B$802=12,'payment summary to Trustee'!$AW804,('payment summary to Trustee'!$BD804-'CDE Intercept  '!$T804)/4)</f>
        <v>0</v>
      </c>
      <c r="P804" s="3">
        <v>0</v>
      </c>
      <c r="Q804" s="3">
        <v>0</v>
      </c>
      <c r="R804" s="3">
        <f>SUM(F804:Q804)</f>
        <v>250</v>
      </c>
      <c r="T804" s="3">
        <f t="shared" ref="T804:T805" si="335">SUM(F804:J804)</f>
        <v>250</v>
      </c>
      <c r="U804" s="93">
        <f>SUM(K804:Q804)</f>
        <v>0</v>
      </c>
      <c r="V804" s="11">
        <f>SUM(T804:U804)-R804</f>
        <v>0</v>
      </c>
    </row>
    <row r="805" spans="1:22" ht="13.5" thickBot="1" x14ac:dyDescent="0.35">
      <c r="A805" t="s">
        <v>382</v>
      </c>
      <c r="B805">
        <v>9.3000000000000007</v>
      </c>
      <c r="E805" s="8" t="s">
        <v>10</v>
      </c>
      <c r="F805" s="3">
        <f>1666.67+31793.75</f>
        <v>33460.42</v>
      </c>
      <c r="G805" s="3">
        <f t="shared" ref="G805:J805" si="336">1666.67+31793.75</f>
        <v>33460.42</v>
      </c>
      <c r="H805" s="3">
        <f t="shared" si="336"/>
        <v>33460.42</v>
      </c>
      <c r="I805" s="3">
        <f t="shared" si="336"/>
        <v>33460.42</v>
      </c>
      <c r="J805" s="3">
        <f t="shared" si="336"/>
        <v>33460.42</v>
      </c>
      <c r="K805" s="3">
        <f>IF($B$802=12,'payment summary to Trustee'!$AW805,('payment summary to Trustee'!$BD805-'CDE Intercept  '!$T805)/4)</f>
        <v>58555.725000000006</v>
      </c>
      <c r="L805" s="3">
        <f>IF($B$802=12,'payment summary to Trustee'!$AW805,('payment summary to Trustee'!$BD805-'CDE Intercept  '!$T805)/4)</f>
        <v>58555.725000000006</v>
      </c>
      <c r="M805" s="3">
        <f>IF($B$802=12,'payment summary to Trustee'!$AW805,('payment summary to Trustee'!$BD805-'CDE Intercept  '!$T805)/4)</f>
        <v>58555.725000000006</v>
      </c>
      <c r="N805" s="3">
        <v>0</v>
      </c>
      <c r="O805" s="118">
        <f>IF($B$802=12,'payment summary to Trustee'!$AW805,('payment summary to Trustee'!$BD805-'CDE Intercept  '!$T805)/4)</f>
        <v>58555.725000000006</v>
      </c>
      <c r="P805" s="3">
        <v>0</v>
      </c>
      <c r="Q805" s="3">
        <v>0</v>
      </c>
      <c r="R805" s="3">
        <f>SUM(F805:Q805)</f>
        <v>401525</v>
      </c>
      <c r="T805" s="3">
        <f t="shared" si="335"/>
        <v>167302.09999999998</v>
      </c>
      <c r="U805" s="94">
        <f>SUM(K805:Q805)</f>
        <v>234222.90000000002</v>
      </c>
      <c r="V805" s="11">
        <f>SUM(T805:U805)-R805</f>
        <v>0</v>
      </c>
    </row>
    <row r="806" spans="1:22" ht="13.5" thickBot="1" x14ac:dyDescent="0.35">
      <c r="E806" s="13" t="s">
        <v>383</v>
      </c>
      <c r="F806" s="22">
        <f t="shared" ref="F806:R806" si="337">SUM(F803:F805)</f>
        <v>33710.42</v>
      </c>
      <c r="G806" s="22">
        <f t="shared" si="337"/>
        <v>33460.42</v>
      </c>
      <c r="H806" s="22">
        <f t="shared" si="337"/>
        <v>33460.42</v>
      </c>
      <c r="I806" s="22">
        <f t="shared" si="337"/>
        <v>33460.42</v>
      </c>
      <c r="J806" s="22">
        <f t="shared" si="337"/>
        <v>33460.42</v>
      </c>
      <c r="K806" s="22">
        <f t="shared" si="337"/>
        <v>58555.725000000006</v>
      </c>
      <c r="L806" s="22">
        <f t="shared" si="337"/>
        <v>58555.725000000006</v>
      </c>
      <c r="M806" s="22">
        <f t="shared" si="337"/>
        <v>58555.725000000006</v>
      </c>
      <c r="N806" s="22">
        <f t="shared" si="337"/>
        <v>0</v>
      </c>
      <c r="O806" s="119">
        <f t="shared" si="337"/>
        <v>58555.725000000006</v>
      </c>
      <c r="P806" s="22">
        <f t="shared" ref="P806" si="338">SUM(P803:P805)</f>
        <v>0</v>
      </c>
      <c r="Q806" s="22">
        <f t="shared" si="337"/>
        <v>0</v>
      </c>
      <c r="R806" s="22">
        <f t="shared" si="337"/>
        <v>401775</v>
      </c>
      <c r="T806" s="39">
        <f>SUM(T803:T805)</f>
        <v>167552.09999999998</v>
      </c>
      <c r="U806" s="78">
        <f>SUM(U803:U805)</f>
        <v>234222.90000000002</v>
      </c>
      <c r="V806" s="11">
        <f>SUM(T806:U806)-R806</f>
        <v>0</v>
      </c>
    </row>
    <row r="807" spans="1:22" x14ac:dyDescent="0.3">
      <c r="E807" s="15"/>
      <c r="O807" s="118"/>
    </row>
    <row r="808" spans="1:22" ht="15.5" x14ac:dyDescent="0.35">
      <c r="B808">
        <v>12</v>
      </c>
      <c r="C808" s="20">
        <f>+C802+1</f>
        <v>98</v>
      </c>
      <c r="D808" s="1" t="s">
        <v>14</v>
      </c>
      <c r="E808" s="25" t="s">
        <v>384</v>
      </c>
      <c r="J808" s="28"/>
      <c r="O808" s="118"/>
    </row>
    <row r="809" spans="1:22" x14ac:dyDescent="0.3">
      <c r="B809">
        <v>12.1</v>
      </c>
      <c r="E809" s="8" t="s">
        <v>8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118">
        <v>0</v>
      </c>
      <c r="P809" s="3">
        <v>0</v>
      </c>
      <c r="Q809" s="3">
        <v>0</v>
      </c>
      <c r="R809" s="3">
        <f>SUM(F809:Q809)</f>
        <v>0</v>
      </c>
      <c r="T809" s="3">
        <f>SUM(F809:J809)</f>
        <v>0</v>
      </c>
      <c r="U809" s="93">
        <f>SUM(K809:Q809)</f>
        <v>0</v>
      </c>
      <c r="V809" s="11">
        <f>SUM(T809:U809)-R809</f>
        <v>0</v>
      </c>
    </row>
    <row r="810" spans="1:22" x14ac:dyDescent="0.3">
      <c r="B810">
        <v>12.2</v>
      </c>
      <c r="E810" s="8" t="s">
        <v>9</v>
      </c>
      <c r="F810" s="3">
        <v>250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118">
        <v>0</v>
      </c>
      <c r="P810" s="3">
        <v>0</v>
      </c>
      <c r="Q810" s="3">
        <v>0</v>
      </c>
      <c r="R810" s="3">
        <f>SUM(F810:Q810)</f>
        <v>250</v>
      </c>
      <c r="T810" s="3">
        <f t="shared" ref="T810:T811" si="339">SUM(F810:J810)</f>
        <v>250</v>
      </c>
      <c r="U810" s="93">
        <f>SUM(K810:Q810)</f>
        <v>0</v>
      </c>
      <c r="V810" s="11">
        <f>SUM(T810:U810)-R810</f>
        <v>0</v>
      </c>
    </row>
    <row r="811" spans="1:22" ht="13.5" thickBot="1" x14ac:dyDescent="0.35">
      <c r="A811" t="s">
        <v>385</v>
      </c>
      <c r="B811">
        <v>12.3</v>
      </c>
      <c r="E811" s="8" t="s">
        <v>10</v>
      </c>
      <c r="F811" s="3">
        <f>12916.67+31675</f>
        <v>44591.67</v>
      </c>
      <c r="G811" s="3">
        <f t="shared" ref="G811:P811" si="340">12916.67+31675</f>
        <v>44591.67</v>
      </c>
      <c r="H811" s="3">
        <f t="shared" si="340"/>
        <v>44591.67</v>
      </c>
      <c r="I811" s="3">
        <f t="shared" si="340"/>
        <v>44591.67</v>
      </c>
      <c r="J811" s="3">
        <f t="shared" si="340"/>
        <v>44591.67</v>
      </c>
      <c r="K811" s="3">
        <f t="shared" si="340"/>
        <v>44591.67</v>
      </c>
      <c r="L811" s="3">
        <f t="shared" si="340"/>
        <v>44591.67</v>
      </c>
      <c r="M811" s="3">
        <f t="shared" si="340"/>
        <v>44591.67</v>
      </c>
      <c r="N811" s="3">
        <f t="shared" si="340"/>
        <v>44591.67</v>
      </c>
      <c r="O811" s="118">
        <f t="shared" si="340"/>
        <v>44591.67</v>
      </c>
      <c r="P811" s="3">
        <f t="shared" si="340"/>
        <v>44591.67</v>
      </c>
      <c r="Q811" s="3">
        <f>12916.63+31675</f>
        <v>44591.63</v>
      </c>
      <c r="R811" s="3">
        <f>SUM(F811:Q811)</f>
        <v>535099.99999999988</v>
      </c>
      <c r="T811" s="3">
        <f t="shared" si="339"/>
        <v>222958.34999999998</v>
      </c>
      <c r="U811" s="94">
        <f>SUM(K811:Q811)</f>
        <v>312141.64999999997</v>
      </c>
      <c r="V811" s="11">
        <f>SUM(T811:U811)-R811</f>
        <v>0</v>
      </c>
    </row>
    <row r="812" spans="1:22" ht="13.5" thickBot="1" x14ac:dyDescent="0.35">
      <c r="E812" s="13" t="s">
        <v>386</v>
      </c>
      <c r="F812" s="22">
        <f t="shared" ref="F812:R812" si="341">SUM(F809:F811)</f>
        <v>44841.67</v>
      </c>
      <c r="G812" s="22">
        <f t="shared" si="341"/>
        <v>44591.67</v>
      </c>
      <c r="H812" s="22">
        <f t="shared" si="341"/>
        <v>44591.67</v>
      </c>
      <c r="I812" s="22">
        <f t="shared" si="341"/>
        <v>44591.67</v>
      </c>
      <c r="J812" s="22">
        <f t="shared" si="341"/>
        <v>44591.67</v>
      </c>
      <c r="K812" s="22">
        <f t="shared" si="341"/>
        <v>44591.67</v>
      </c>
      <c r="L812" s="22">
        <f t="shared" si="341"/>
        <v>44591.67</v>
      </c>
      <c r="M812" s="22">
        <f t="shared" si="341"/>
        <v>44591.67</v>
      </c>
      <c r="N812" s="22">
        <f t="shared" si="341"/>
        <v>44591.67</v>
      </c>
      <c r="O812" s="119">
        <f t="shared" si="341"/>
        <v>44591.67</v>
      </c>
      <c r="P812" s="22">
        <f t="shared" si="341"/>
        <v>44591.67</v>
      </c>
      <c r="Q812" s="22">
        <f t="shared" si="341"/>
        <v>44591.63</v>
      </c>
      <c r="R812" s="22">
        <f t="shared" si="341"/>
        <v>535349.99999999988</v>
      </c>
      <c r="T812" s="39">
        <f>SUM(T809:T811)</f>
        <v>223208.34999999998</v>
      </c>
      <c r="U812" s="78">
        <f>SUM(U809:U811)</f>
        <v>312141.64999999997</v>
      </c>
      <c r="V812" s="11">
        <f>SUM(T812:U812)-R812</f>
        <v>0</v>
      </c>
    </row>
    <row r="813" spans="1:22" x14ac:dyDescent="0.3">
      <c r="E813" s="15"/>
      <c r="J813" s="28"/>
      <c r="O813" s="118"/>
    </row>
    <row r="814" spans="1:22" ht="15.5" x14ac:dyDescent="0.35">
      <c r="B814">
        <v>9</v>
      </c>
      <c r="C814" s="20">
        <f>+C808+1</f>
        <v>99</v>
      </c>
      <c r="D814" s="1" t="s">
        <v>14</v>
      </c>
      <c r="E814" s="25" t="s">
        <v>387</v>
      </c>
      <c r="J814" s="28"/>
      <c r="O814" s="118"/>
    </row>
    <row r="815" spans="1:22" x14ac:dyDescent="0.3">
      <c r="B815">
        <v>9.1</v>
      </c>
      <c r="E815" s="8" t="s">
        <v>8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f>IF($B$814=12,'payment summary to Trustee'!$AW815,('payment summary to Trustee'!$BD815-'CDE Intercept  '!$T815)/4)</f>
        <v>0</v>
      </c>
      <c r="L815" s="3">
        <f>IF($B$814=12,'payment summary to Trustee'!$AW815,('payment summary to Trustee'!$BD815-'CDE Intercept  '!$T815)/4)</f>
        <v>0</v>
      </c>
      <c r="M815" s="3">
        <f>IF($B$814=12,'payment summary to Trustee'!$AW815,('payment summary to Trustee'!$BD815-'CDE Intercept  '!$T815)/4)</f>
        <v>0</v>
      </c>
      <c r="N815" s="3">
        <v>0</v>
      </c>
      <c r="O815" s="118">
        <f>IF($B$814=12,'payment summary to Trustee'!$AW815,('payment summary to Trustee'!$BD815-'CDE Intercept  '!$T815)/4)</f>
        <v>0</v>
      </c>
      <c r="P815" s="3">
        <v>0</v>
      </c>
      <c r="Q815" s="3">
        <v>0</v>
      </c>
      <c r="R815" s="3">
        <f>SUM(F815:Q815)</f>
        <v>0</v>
      </c>
      <c r="T815" s="3">
        <f>SUM(F815:J815)</f>
        <v>0</v>
      </c>
      <c r="U815" s="93">
        <f>SUM(K815:Q815)</f>
        <v>0</v>
      </c>
      <c r="V815" s="11">
        <f>SUM(T815:U815)-R815</f>
        <v>0</v>
      </c>
    </row>
    <row r="816" spans="1:22" x14ac:dyDescent="0.3">
      <c r="B816">
        <v>9.1999999999999993</v>
      </c>
      <c r="E816" s="8" t="s">
        <v>9</v>
      </c>
      <c r="F816" s="3">
        <v>250</v>
      </c>
      <c r="G816" s="3">
        <v>0</v>
      </c>
      <c r="H816" s="3">
        <v>0</v>
      </c>
      <c r="I816" s="3">
        <v>0</v>
      </c>
      <c r="J816" s="3">
        <v>0</v>
      </c>
      <c r="K816" s="3">
        <f>IF($B$814=12,'payment summary to Trustee'!$AW816,('payment summary to Trustee'!$BD816-'CDE Intercept  '!$T816)/4)</f>
        <v>0</v>
      </c>
      <c r="L816" s="3">
        <f>IF($B$814=12,'payment summary to Trustee'!$AW816,('payment summary to Trustee'!$BD816-'CDE Intercept  '!$T816)/4)</f>
        <v>0</v>
      </c>
      <c r="M816" s="3">
        <f>IF($B$814=12,'payment summary to Trustee'!$AW816,('payment summary to Trustee'!$BD816-'CDE Intercept  '!$T816)/4)</f>
        <v>0</v>
      </c>
      <c r="N816" s="3">
        <v>0</v>
      </c>
      <c r="O816" s="118">
        <f>IF($B$814=12,'payment summary to Trustee'!$AW816,('payment summary to Trustee'!$BD816-'CDE Intercept  '!$T816)/4)</f>
        <v>0</v>
      </c>
      <c r="P816" s="3">
        <v>0</v>
      </c>
      <c r="Q816" s="3">
        <v>0</v>
      </c>
      <c r="R816" s="3">
        <f>SUM(F816:Q816)</f>
        <v>250</v>
      </c>
      <c r="T816" s="3">
        <f t="shared" ref="T816:T817" si="342">SUM(F816:J816)</f>
        <v>250</v>
      </c>
      <c r="U816" s="93">
        <f>SUM(K816:Q816)</f>
        <v>0</v>
      </c>
      <c r="V816" s="11">
        <f>SUM(T816:U816)-R816</f>
        <v>0</v>
      </c>
    </row>
    <row r="817" spans="1:22" ht="13.5" thickBot="1" x14ac:dyDescent="0.35">
      <c r="A817" t="s">
        <v>388</v>
      </c>
      <c r="B817">
        <v>9.3000000000000007</v>
      </c>
      <c r="E817" s="8" t="s">
        <v>10</v>
      </c>
      <c r="F817" s="3">
        <v>16765.63</v>
      </c>
      <c r="G817" s="3">
        <v>16765.63</v>
      </c>
      <c r="H817" s="3">
        <v>16765.63</v>
      </c>
      <c r="I817" s="3">
        <v>16765.63</v>
      </c>
      <c r="J817" s="3">
        <v>16765.63</v>
      </c>
      <c r="K817" s="3">
        <f>IF($B$814=12,'payment summary to Trustee'!$AW817,('payment summary to Trustee'!$BD817-'CDE Intercept  '!$T817)/4)</f>
        <v>29339.837500000005</v>
      </c>
      <c r="L817" s="3">
        <f>IF($B$814=12,'payment summary to Trustee'!$AW817,('payment summary to Trustee'!$BD817-'CDE Intercept  '!$T817)/4)</f>
        <v>29339.837500000005</v>
      </c>
      <c r="M817" s="3">
        <f>IF($B$814=12,'payment summary to Trustee'!$AW817,('payment summary to Trustee'!$BD817-'CDE Intercept  '!$T817)/4)</f>
        <v>29339.837500000005</v>
      </c>
      <c r="N817" s="3">
        <v>0</v>
      </c>
      <c r="O817" s="118">
        <f>IF($B$814=12,'payment summary to Trustee'!$AW817,('payment summary to Trustee'!$BD817-'CDE Intercept  '!$T817)/4)</f>
        <v>29339.837500000005</v>
      </c>
      <c r="P817" s="3">
        <v>0</v>
      </c>
      <c r="Q817" s="3">
        <v>0</v>
      </c>
      <c r="R817" s="3">
        <f>SUM(F817:Q817)</f>
        <v>201187.5</v>
      </c>
      <c r="T817" s="3">
        <f t="shared" si="342"/>
        <v>83828.150000000009</v>
      </c>
      <c r="U817" s="94">
        <f>SUM(K817:Q817)</f>
        <v>117359.35000000002</v>
      </c>
      <c r="V817" s="11">
        <f>SUM(T817:U817)-R817</f>
        <v>0</v>
      </c>
    </row>
    <row r="818" spans="1:22" ht="13.5" thickBot="1" x14ac:dyDescent="0.35">
      <c r="E818" s="13" t="s">
        <v>389</v>
      </c>
      <c r="F818" s="22">
        <f t="shared" ref="F818:R818" si="343">SUM(F815:F817)</f>
        <v>17015.63</v>
      </c>
      <c r="G818" s="22">
        <f t="shared" si="343"/>
        <v>16765.63</v>
      </c>
      <c r="H818" s="22">
        <f t="shared" si="343"/>
        <v>16765.63</v>
      </c>
      <c r="I818" s="22">
        <f t="shared" si="343"/>
        <v>16765.63</v>
      </c>
      <c r="J818" s="22">
        <f t="shared" si="343"/>
        <v>16765.63</v>
      </c>
      <c r="K818" s="22">
        <f t="shared" si="343"/>
        <v>29339.837500000005</v>
      </c>
      <c r="L818" s="22">
        <f t="shared" si="343"/>
        <v>29339.837500000005</v>
      </c>
      <c r="M818" s="22">
        <f t="shared" si="343"/>
        <v>29339.837500000005</v>
      </c>
      <c r="N818" s="22">
        <f t="shared" si="343"/>
        <v>0</v>
      </c>
      <c r="O818" s="119">
        <f t="shared" si="343"/>
        <v>29339.837500000005</v>
      </c>
      <c r="P818" s="22">
        <f t="shared" ref="P818" si="344">SUM(P815:P817)</f>
        <v>0</v>
      </c>
      <c r="Q818" s="22">
        <f t="shared" si="343"/>
        <v>0</v>
      </c>
      <c r="R818" s="22">
        <f t="shared" si="343"/>
        <v>201437.5</v>
      </c>
      <c r="T818" s="39">
        <f>SUM(T815:T817)</f>
        <v>84078.150000000009</v>
      </c>
      <c r="U818" s="78">
        <f>SUM(U815:U817)</f>
        <v>117359.35000000002</v>
      </c>
      <c r="V818" s="11">
        <f>SUM(T818:U818)-R818</f>
        <v>0</v>
      </c>
    </row>
    <row r="819" spans="1:22" x14ac:dyDescent="0.3">
      <c r="E819" s="15"/>
      <c r="J819" s="28"/>
      <c r="O819" s="118"/>
    </row>
    <row r="820" spans="1:22" ht="15.5" x14ac:dyDescent="0.35">
      <c r="B820">
        <v>12</v>
      </c>
      <c r="C820" s="20">
        <f>+C814+1</f>
        <v>100</v>
      </c>
      <c r="D820" s="1" t="s">
        <v>14</v>
      </c>
      <c r="E820" s="25" t="s">
        <v>390</v>
      </c>
      <c r="J820" s="28"/>
      <c r="O820" s="118"/>
    </row>
    <row r="821" spans="1:22" x14ac:dyDescent="0.3">
      <c r="B821">
        <v>12.1</v>
      </c>
      <c r="E821" s="8" t="s">
        <v>8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118">
        <v>0</v>
      </c>
      <c r="P821" s="3">
        <v>0</v>
      </c>
      <c r="Q821" s="3">
        <v>0</v>
      </c>
      <c r="R821" s="3">
        <f>SUM(F821:Q821)</f>
        <v>0</v>
      </c>
      <c r="T821" s="3">
        <f>SUM(F821:J821)</f>
        <v>0</v>
      </c>
      <c r="U821" s="93">
        <f>SUM(K821:Q821)</f>
        <v>0</v>
      </c>
      <c r="V821" s="11">
        <f>SUM(T821:U821)-R821</f>
        <v>0</v>
      </c>
    </row>
    <row r="822" spans="1:22" x14ac:dyDescent="0.3">
      <c r="B822">
        <v>12.2</v>
      </c>
      <c r="E822" s="8" t="s">
        <v>9</v>
      </c>
      <c r="F822" s="3">
        <v>250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118">
        <v>0</v>
      </c>
      <c r="P822" s="3">
        <v>0</v>
      </c>
      <c r="Q822" s="3">
        <v>0</v>
      </c>
      <c r="R822" s="3">
        <f>SUM(F822:Q822)</f>
        <v>250</v>
      </c>
      <c r="T822" s="3">
        <f t="shared" ref="T822:T823" si="345">SUM(F822:J822)</f>
        <v>250</v>
      </c>
      <c r="U822" s="93">
        <f>SUM(K822:Q822)</f>
        <v>0</v>
      </c>
      <c r="V822" s="11">
        <f>SUM(T822:U822)-R822</f>
        <v>0</v>
      </c>
    </row>
    <row r="823" spans="1:22" ht="13.5" thickBot="1" x14ac:dyDescent="0.35">
      <c r="A823" t="s">
        <v>391</v>
      </c>
      <c r="B823">
        <v>12.3</v>
      </c>
      <c r="E823" s="8" t="s">
        <v>10</v>
      </c>
      <c r="F823" s="3">
        <f>5000+25047.92</f>
        <v>30047.919999999998</v>
      </c>
      <c r="G823" s="3">
        <f t="shared" ref="G823:P823" si="346">5000+25047.92</f>
        <v>30047.919999999998</v>
      </c>
      <c r="H823" s="3">
        <f t="shared" si="346"/>
        <v>30047.919999999998</v>
      </c>
      <c r="I823" s="3">
        <f t="shared" si="346"/>
        <v>30047.919999999998</v>
      </c>
      <c r="J823" s="3">
        <f t="shared" si="346"/>
        <v>30047.919999999998</v>
      </c>
      <c r="K823" s="3">
        <f>5000+25047.9</f>
        <v>30047.9</v>
      </c>
      <c r="L823" s="3">
        <f t="shared" si="346"/>
        <v>30047.919999999998</v>
      </c>
      <c r="M823" s="3">
        <f t="shared" si="346"/>
        <v>30047.919999999998</v>
      </c>
      <c r="N823" s="3">
        <f t="shared" si="346"/>
        <v>30047.919999999998</v>
      </c>
      <c r="O823" s="118">
        <f t="shared" si="346"/>
        <v>30047.919999999998</v>
      </c>
      <c r="P823" s="3">
        <f t="shared" si="346"/>
        <v>30047.919999999998</v>
      </c>
      <c r="Q823" s="3">
        <f>5000+25047.9</f>
        <v>30047.9</v>
      </c>
      <c r="R823" s="3">
        <f>SUM(F823:Q823)</f>
        <v>360574.99999999994</v>
      </c>
      <c r="T823" s="3">
        <f t="shared" si="345"/>
        <v>150239.59999999998</v>
      </c>
      <c r="U823" s="94">
        <f>SUM(K823:Q823)</f>
        <v>210335.4</v>
      </c>
      <c r="V823" s="11">
        <f>SUM(T823:U823)-R823</f>
        <v>0</v>
      </c>
    </row>
    <row r="824" spans="1:22" ht="13.5" thickBot="1" x14ac:dyDescent="0.35">
      <c r="E824" s="13" t="s">
        <v>392</v>
      </c>
      <c r="F824" s="22">
        <f t="shared" ref="F824:R824" si="347">SUM(F821:F823)</f>
        <v>30297.919999999998</v>
      </c>
      <c r="G824" s="22">
        <f t="shared" si="347"/>
        <v>30047.919999999998</v>
      </c>
      <c r="H824" s="22">
        <f t="shared" si="347"/>
        <v>30047.919999999998</v>
      </c>
      <c r="I824" s="22">
        <f t="shared" si="347"/>
        <v>30047.919999999998</v>
      </c>
      <c r="J824" s="22">
        <f t="shared" si="347"/>
        <v>30047.919999999998</v>
      </c>
      <c r="K824" s="22">
        <f t="shared" si="347"/>
        <v>30047.9</v>
      </c>
      <c r="L824" s="22">
        <f t="shared" si="347"/>
        <v>30047.919999999998</v>
      </c>
      <c r="M824" s="22">
        <f t="shared" si="347"/>
        <v>30047.919999999998</v>
      </c>
      <c r="N824" s="22">
        <f t="shared" si="347"/>
        <v>30047.919999999998</v>
      </c>
      <c r="O824" s="119">
        <f t="shared" si="347"/>
        <v>30047.919999999998</v>
      </c>
      <c r="P824" s="22">
        <f t="shared" si="347"/>
        <v>30047.919999999998</v>
      </c>
      <c r="Q824" s="22">
        <f t="shared" si="347"/>
        <v>30047.9</v>
      </c>
      <c r="R824" s="22">
        <f t="shared" si="347"/>
        <v>360824.99999999994</v>
      </c>
      <c r="T824" s="39">
        <f>SUM(T821:T823)</f>
        <v>150489.59999999998</v>
      </c>
      <c r="U824" s="78">
        <f>SUM(U821:U823)</f>
        <v>210335.4</v>
      </c>
      <c r="V824" s="11">
        <f>SUM(T824:U824)-R824</f>
        <v>0</v>
      </c>
    </row>
    <row r="825" spans="1:22" x14ac:dyDescent="0.3">
      <c r="E825" s="15"/>
      <c r="O825" s="118"/>
    </row>
    <row r="826" spans="1:22" ht="15.5" x14ac:dyDescent="0.35">
      <c r="B826">
        <v>9</v>
      </c>
      <c r="C826" s="20">
        <f>+C820+1</f>
        <v>101</v>
      </c>
      <c r="D826" s="1" t="s">
        <v>14</v>
      </c>
      <c r="E826" s="25" t="s">
        <v>393</v>
      </c>
      <c r="O826" s="118"/>
    </row>
    <row r="827" spans="1:22" x14ac:dyDescent="0.3">
      <c r="B827">
        <v>9.1</v>
      </c>
      <c r="E827" s="8" t="s">
        <v>8</v>
      </c>
      <c r="F827" s="3">
        <v>0</v>
      </c>
      <c r="G827" s="3">
        <v>0</v>
      </c>
      <c r="H827" s="3">
        <v>0</v>
      </c>
      <c r="I827" s="3">
        <v>0</v>
      </c>
      <c r="J827" s="3">
        <v>0</v>
      </c>
      <c r="K827" s="3">
        <f>IF($B$826=12,'payment summary to Trustee'!$AW827,('payment summary to Trustee'!$BD827-'CDE Intercept  '!$T827)/4)</f>
        <v>0</v>
      </c>
      <c r="L827" s="3">
        <f>IF($B$826=12,'payment summary to Trustee'!$AW827,('payment summary to Trustee'!$BD827-'CDE Intercept  '!$T827)/4)</f>
        <v>0</v>
      </c>
      <c r="M827" s="3">
        <f>IF($B$826=12,'payment summary to Trustee'!$AW827,('payment summary to Trustee'!$BD827-'CDE Intercept  '!$T827)/4)</f>
        <v>0</v>
      </c>
      <c r="N827" s="3">
        <v>0</v>
      </c>
      <c r="O827" s="118">
        <f>IF($B$826=12,'payment summary to Trustee'!$AW827,('payment summary to Trustee'!$BD827-'CDE Intercept  '!$T827)/4)</f>
        <v>0</v>
      </c>
      <c r="P827" s="3">
        <v>0</v>
      </c>
      <c r="Q827" s="3">
        <v>0</v>
      </c>
      <c r="R827" s="3">
        <f>SUM(F827:Q827)</f>
        <v>0</v>
      </c>
      <c r="T827" s="3">
        <f>SUM(F827:J827)</f>
        <v>0</v>
      </c>
      <c r="U827" s="93">
        <f>SUM(K827:Q827)</f>
        <v>0</v>
      </c>
      <c r="V827" s="11">
        <f>SUM(T827:U827)-R827</f>
        <v>0</v>
      </c>
    </row>
    <row r="828" spans="1:22" x14ac:dyDescent="0.3">
      <c r="B828">
        <v>9.1999999999999993</v>
      </c>
      <c r="E828" s="8" t="s">
        <v>9</v>
      </c>
      <c r="F828" s="3">
        <v>250</v>
      </c>
      <c r="G828" s="3">
        <v>0</v>
      </c>
      <c r="H828" s="3">
        <v>0</v>
      </c>
      <c r="I828" s="3">
        <v>0</v>
      </c>
      <c r="J828" s="3">
        <v>0</v>
      </c>
      <c r="K828" s="3">
        <f>IF($B$826=12,'payment summary to Trustee'!$AW828,('payment summary to Trustee'!$BD828-'CDE Intercept  '!$T828)/4)</f>
        <v>0</v>
      </c>
      <c r="L828" s="3">
        <f>IF($B$826=12,'payment summary to Trustee'!$AW828,('payment summary to Trustee'!$BD828-'CDE Intercept  '!$T828)/4)</f>
        <v>0</v>
      </c>
      <c r="M828" s="3">
        <f>IF($B$826=12,'payment summary to Trustee'!$AW828,('payment summary to Trustee'!$BD828-'CDE Intercept  '!$T828)/4)</f>
        <v>0</v>
      </c>
      <c r="N828" s="3">
        <v>0</v>
      </c>
      <c r="O828" s="118">
        <f>IF($B$826=12,'payment summary to Trustee'!$AW828,('payment summary to Trustee'!$BD828-'CDE Intercept  '!$T828)/4)</f>
        <v>0</v>
      </c>
      <c r="P828" s="3">
        <v>0</v>
      </c>
      <c r="Q828" s="3">
        <v>0</v>
      </c>
      <c r="R828" s="3">
        <f>SUM(F828:Q828)</f>
        <v>250</v>
      </c>
      <c r="T828" s="3">
        <f t="shared" ref="T828:T829" si="348">SUM(F828:J828)</f>
        <v>250</v>
      </c>
      <c r="U828" s="93">
        <f>SUM(K828:Q828)</f>
        <v>0</v>
      </c>
      <c r="V828" s="11">
        <f>SUM(T828:U828)-R828</f>
        <v>0</v>
      </c>
    </row>
    <row r="829" spans="1:22" ht="13.5" thickBot="1" x14ac:dyDescent="0.35">
      <c r="A829" t="s">
        <v>394</v>
      </c>
      <c r="B829">
        <v>9.3000000000000007</v>
      </c>
      <c r="E829" s="8" t="s">
        <v>10</v>
      </c>
      <c r="F829" s="3">
        <f>8750+26200.52</f>
        <v>34950.520000000004</v>
      </c>
      <c r="G829" s="3">
        <f>8750+26200.53</f>
        <v>34950.53</v>
      </c>
      <c r="H829" s="3">
        <f>8750+26200.52</f>
        <v>34950.520000000004</v>
      </c>
      <c r="I829" s="3">
        <f t="shared" ref="I829:J829" si="349">8750+26200.52</f>
        <v>34950.520000000004</v>
      </c>
      <c r="J829" s="3">
        <f t="shared" si="349"/>
        <v>34950.520000000004</v>
      </c>
      <c r="K829" s="3">
        <f>IF($B$826=12,'payment summary to Trustee'!$AW829,('payment summary to Trustee'!$BD829-'CDE Intercept  '!$T829)/4)</f>
        <v>61120.712500000009</v>
      </c>
      <c r="L829" s="3">
        <f>IF($B$826=12,'payment summary to Trustee'!$AW829,('payment summary to Trustee'!$BD829-'CDE Intercept  '!$T829)/4)</f>
        <v>61120.712500000009</v>
      </c>
      <c r="M829" s="3">
        <f>IF($B$826=12,'payment summary to Trustee'!$AW829,('payment summary to Trustee'!$BD829-'CDE Intercept  '!$T829)/4)</f>
        <v>61120.712500000009</v>
      </c>
      <c r="N829" s="3">
        <v>0</v>
      </c>
      <c r="O829" s="118">
        <f>IF($B$826=12,'payment summary to Trustee'!$AW829,('payment summary to Trustee'!$BD829-'CDE Intercept  '!$T829)/4)</f>
        <v>61120.712500000009</v>
      </c>
      <c r="P829" s="3">
        <v>0</v>
      </c>
      <c r="Q829" s="3">
        <v>0</v>
      </c>
      <c r="R829" s="3">
        <f>SUM(F829:Q829)</f>
        <v>419235.46000000014</v>
      </c>
      <c r="T829" s="3">
        <f t="shared" si="348"/>
        <v>174752.61000000004</v>
      </c>
      <c r="U829" s="94">
        <f>SUM(K829:Q829)</f>
        <v>244482.85000000003</v>
      </c>
      <c r="V829" s="11">
        <f>SUM(T829:U829)-R829</f>
        <v>0</v>
      </c>
    </row>
    <row r="830" spans="1:22" ht="13.5" thickBot="1" x14ac:dyDescent="0.35">
      <c r="E830" s="13" t="s">
        <v>13</v>
      </c>
      <c r="F830" s="22">
        <f t="shared" ref="F830:R830" si="350">SUM(F827:F829)</f>
        <v>35200.520000000004</v>
      </c>
      <c r="G830" s="22">
        <f t="shared" si="350"/>
        <v>34950.53</v>
      </c>
      <c r="H830" s="22">
        <f t="shared" si="350"/>
        <v>34950.520000000004</v>
      </c>
      <c r="I830" s="22">
        <f t="shared" si="350"/>
        <v>34950.520000000004</v>
      </c>
      <c r="J830" s="22">
        <f t="shared" si="350"/>
        <v>34950.520000000004</v>
      </c>
      <c r="K830" s="22">
        <f t="shared" si="350"/>
        <v>61120.712500000009</v>
      </c>
      <c r="L830" s="22">
        <f t="shared" si="350"/>
        <v>61120.712500000009</v>
      </c>
      <c r="M830" s="22">
        <f t="shared" si="350"/>
        <v>61120.712500000009</v>
      </c>
      <c r="N830" s="22">
        <f t="shared" si="350"/>
        <v>0</v>
      </c>
      <c r="O830" s="119">
        <f t="shared" si="350"/>
        <v>61120.712500000009</v>
      </c>
      <c r="P830" s="22">
        <f t="shared" ref="P830" si="351">SUM(P827:P829)</f>
        <v>0</v>
      </c>
      <c r="Q830" s="22">
        <f t="shared" si="350"/>
        <v>0</v>
      </c>
      <c r="R830" s="22">
        <f t="shared" si="350"/>
        <v>419485.46000000014</v>
      </c>
      <c r="T830" s="39">
        <f>SUM(T827:T829)</f>
        <v>175002.61000000004</v>
      </c>
      <c r="U830" s="78">
        <f>SUM(U827:U829)</f>
        <v>244482.85000000003</v>
      </c>
      <c r="V830" s="11">
        <f>SUM(T830:U830)-R830</f>
        <v>0</v>
      </c>
    </row>
    <row r="831" spans="1:22" x14ac:dyDescent="0.3">
      <c r="E831" s="15"/>
      <c r="O831" s="118"/>
    </row>
    <row r="832" spans="1:22" ht="15.5" x14ac:dyDescent="0.35">
      <c r="A832" s="33" t="s">
        <v>14</v>
      </c>
      <c r="B832">
        <v>12</v>
      </c>
      <c r="C832" s="20">
        <f>+C826+1</f>
        <v>102</v>
      </c>
      <c r="D832" s="1" t="s">
        <v>208</v>
      </c>
      <c r="E832" s="25" t="s">
        <v>395</v>
      </c>
      <c r="O832" s="118"/>
    </row>
    <row r="833" spans="1:22" x14ac:dyDescent="0.3">
      <c r="B833">
        <v>12.1</v>
      </c>
      <c r="E833" s="8" t="s">
        <v>8</v>
      </c>
      <c r="F833" s="3">
        <v>0</v>
      </c>
      <c r="G833" s="3">
        <v>0</v>
      </c>
      <c r="H833" s="3"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118">
        <v>0</v>
      </c>
      <c r="P833" s="3">
        <v>0</v>
      </c>
      <c r="Q833" s="3">
        <v>0</v>
      </c>
      <c r="R833" s="3">
        <f>SUM(F833:Q833)</f>
        <v>0</v>
      </c>
      <c r="T833" s="3">
        <f>SUM(F833:J833)</f>
        <v>0</v>
      </c>
      <c r="U833" s="93">
        <f>SUM(K833:Q833)</f>
        <v>0</v>
      </c>
      <c r="V833" s="11">
        <f>SUM(T833:U833)-R833</f>
        <v>0</v>
      </c>
    </row>
    <row r="834" spans="1:22" x14ac:dyDescent="0.3">
      <c r="B834">
        <v>12.2</v>
      </c>
      <c r="E834" s="8" t="s">
        <v>9</v>
      </c>
      <c r="F834" s="26">
        <f>ROUND(250*0.4439,2)</f>
        <v>110.98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118">
        <v>0</v>
      </c>
      <c r="P834" s="3">
        <v>0</v>
      </c>
      <c r="Q834" s="3">
        <v>0</v>
      </c>
      <c r="R834" s="3">
        <f>SUM(F834:Q834)</f>
        <v>110.98</v>
      </c>
      <c r="T834" s="3">
        <f t="shared" ref="T834:T835" si="352">SUM(F834:J834)</f>
        <v>110.98</v>
      </c>
      <c r="U834" s="93">
        <f>SUM(K834:Q834)</f>
        <v>0</v>
      </c>
      <c r="V834" s="11">
        <f>SUM(T834:U834)-R834</f>
        <v>0</v>
      </c>
    </row>
    <row r="835" spans="1:22" ht="13.5" thickBot="1" x14ac:dyDescent="0.35">
      <c r="A835" t="s">
        <v>396</v>
      </c>
      <c r="B835">
        <v>12.3</v>
      </c>
      <c r="E835" s="8" t="s">
        <v>10</v>
      </c>
      <c r="F835" s="3">
        <f>ROUND((62916.67+366595.83)*0.4439,2)</f>
        <v>190660.6</v>
      </c>
      <c r="G835" s="3">
        <f>ROUND((62916.67+366595.83)*0.4439,2)</f>
        <v>190660.6</v>
      </c>
      <c r="H835" s="3">
        <f>ROUND((62916.67+366595.83)*0.4439,2)</f>
        <v>190660.6</v>
      </c>
      <c r="I835" s="3">
        <f>ROUND((62916.67+366595.83)*0.4439,2)</f>
        <v>190660.6</v>
      </c>
      <c r="J835" s="3">
        <f>ROUND((62916.67+366595.83)*0.4439,2)</f>
        <v>190660.6</v>
      </c>
      <c r="K835" s="3">
        <f>ROUND((62916.67+366595.85)*0.4439,2)</f>
        <v>190660.61</v>
      </c>
      <c r="L835" s="3">
        <f>ROUND((62916.67+366595.83)*0.4439,2)</f>
        <v>190660.6</v>
      </c>
      <c r="M835" s="3">
        <f t="shared" ref="M835:N835" si="353">ROUND((62916.67+366595.83)*0.4439,2)</f>
        <v>190660.6</v>
      </c>
      <c r="N835" s="3">
        <f t="shared" si="353"/>
        <v>190660.6</v>
      </c>
      <c r="O835" s="118">
        <f>ROUND((62916.67+348679.17)*0.4439,2)-23859.62-0.01</f>
        <v>158847.76</v>
      </c>
      <c r="P835" s="3">
        <f t="shared" ref="P835" si="354">ROUND((62916.67+348679.17)*0.4439,2)</f>
        <v>182707.39</v>
      </c>
      <c r="Q835" s="3">
        <f>ROUND((62916.63+348679.15)*0.4439,2)</f>
        <v>182707.37</v>
      </c>
      <c r="R835" s="3">
        <f>SUM(F835:Q835)</f>
        <v>2240207.9300000002</v>
      </c>
      <c r="S835" s="97"/>
      <c r="T835" s="3">
        <f t="shared" si="352"/>
        <v>953303</v>
      </c>
      <c r="U835" s="94">
        <f>SUM(K835:Q835)</f>
        <v>1286904.9300000002</v>
      </c>
      <c r="V835" s="11">
        <f>SUM(T835:U835)-R835</f>
        <v>0</v>
      </c>
    </row>
    <row r="836" spans="1:22" ht="13.5" thickBot="1" x14ac:dyDescent="0.35">
      <c r="E836" s="13" t="s">
        <v>397</v>
      </c>
      <c r="F836" s="22">
        <f t="shared" ref="F836:R836" si="355">SUM(F833:F835)</f>
        <v>190771.58000000002</v>
      </c>
      <c r="G836" s="22">
        <f t="shared" si="355"/>
        <v>190660.6</v>
      </c>
      <c r="H836" s="22">
        <f t="shared" si="355"/>
        <v>190660.6</v>
      </c>
      <c r="I836" s="22">
        <f t="shared" si="355"/>
        <v>190660.6</v>
      </c>
      <c r="J836" s="22">
        <f t="shared" si="355"/>
        <v>190660.6</v>
      </c>
      <c r="K836" s="22">
        <f t="shared" si="355"/>
        <v>190660.61</v>
      </c>
      <c r="L836" s="22">
        <f t="shared" si="355"/>
        <v>190660.6</v>
      </c>
      <c r="M836" s="22">
        <f t="shared" si="355"/>
        <v>190660.6</v>
      </c>
      <c r="N836" s="22">
        <f t="shared" si="355"/>
        <v>190660.6</v>
      </c>
      <c r="O836" s="119">
        <f t="shared" si="355"/>
        <v>158847.76</v>
      </c>
      <c r="P836" s="22">
        <f t="shared" si="355"/>
        <v>182707.39</v>
      </c>
      <c r="Q836" s="22">
        <f t="shared" si="355"/>
        <v>182707.37</v>
      </c>
      <c r="R836" s="22">
        <f t="shared" si="355"/>
        <v>2240318.91</v>
      </c>
      <c r="T836" s="39">
        <f>SUM(T833:T835)</f>
        <v>953413.98</v>
      </c>
      <c r="U836" s="78">
        <f>SUM(U833:U835)</f>
        <v>1286904.9300000002</v>
      </c>
      <c r="V836" s="11">
        <f>SUM(T836:U836)-R836</f>
        <v>0</v>
      </c>
    </row>
    <row r="837" spans="1:22" x14ac:dyDescent="0.3">
      <c r="E837" s="15"/>
      <c r="O837" s="118"/>
    </row>
    <row r="838" spans="1:22" ht="15.5" x14ac:dyDescent="0.35">
      <c r="A838" s="99"/>
      <c r="B838">
        <v>12</v>
      </c>
      <c r="C838" s="20">
        <f>C832</f>
        <v>102</v>
      </c>
      <c r="D838" s="1" t="s">
        <v>212</v>
      </c>
      <c r="E838" s="25" t="s">
        <v>398</v>
      </c>
      <c r="O838" s="118"/>
    </row>
    <row r="839" spans="1:22" x14ac:dyDescent="0.3">
      <c r="B839">
        <v>12.1</v>
      </c>
      <c r="E839" s="8" t="s">
        <v>8</v>
      </c>
      <c r="F839" s="3">
        <v>0</v>
      </c>
      <c r="G839" s="3">
        <v>0</v>
      </c>
      <c r="H839" s="3">
        <v>0</v>
      </c>
      <c r="I839" s="3">
        <v>0</v>
      </c>
      <c r="J839" s="3">
        <v>0</v>
      </c>
      <c r="K839" s="60">
        <f>IF($B$838=12,'payment summary to Trustee'!$AW839,('payment summary to Trustee'!$BD839-'CDE Intercept  '!$T839)/4)</f>
        <v>0</v>
      </c>
      <c r="L839" s="3">
        <f>IF($B$838=12,'payment summary to Trustee'!$AW839,('payment summary to Trustee'!$BD839-'CDE Intercept  '!$T839)/4)</f>
        <v>0</v>
      </c>
      <c r="M839" s="3">
        <f>IF($B$838=12,'payment summary to Trustee'!$AW839,('payment summary to Trustee'!$BD839-'CDE Intercept  '!$T839)/4)</f>
        <v>0</v>
      </c>
      <c r="N839" s="3">
        <f>IF($B$838=12,'payment summary to Trustee'!$AW839,('payment summary to Trustee'!$BD839-'CDE Intercept  '!$T839)/4)</f>
        <v>0</v>
      </c>
      <c r="O839" s="118">
        <v>0</v>
      </c>
      <c r="P839" s="3">
        <v>0</v>
      </c>
      <c r="Q839" s="3">
        <v>0</v>
      </c>
      <c r="R839" s="3">
        <f>SUM(F839:Q839)</f>
        <v>0</v>
      </c>
      <c r="T839" s="3">
        <f>SUM(F839:J839)</f>
        <v>0</v>
      </c>
      <c r="U839" s="93">
        <f>SUM(K839:Q839)</f>
        <v>0</v>
      </c>
      <c r="V839" s="11">
        <f>SUM(T839:U839)-R839</f>
        <v>0</v>
      </c>
    </row>
    <row r="840" spans="1:22" x14ac:dyDescent="0.3">
      <c r="B840">
        <v>12.2</v>
      </c>
      <c r="E840" s="8" t="s">
        <v>9</v>
      </c>
      <c r="F840" s="26">
        <f>ROUND(250*0.5561,2)-0.01</f>
        <v>139.02000000000001</v>
      </c>
      <c r="G840" s="3">
        <v>0</v>
      </c>
      <c r="H840" s="3">
        <v>0</v>
      </c>
      <c r="I840" s="3">
        <v>0</v>
      </c>
      <c r="J840" s="3">
        <v>0</v>
      </c>
      <c r="K840" s="60">
        <f>IF($B$838=12,'payment summary to Trustee'!$AW840,('payment summary to Trustee'!$BD840-'CDE Intercept  '!$T840)/4)</f>
        <v>0</v>
      </c>
      <c r="L840" s="3">
        <f>IF($B$838=12,'payment summary to Trustee'!$AW840,('payment summary to Trustee'!$BD840-'CDE Intercept  '!$T840)/4)</f>
        <v>0</v>
      </c>
      <c r="M840" s="3">
        <f>IF($B$838=12,'payment summary to Trustee'!$AW840,('payment summary to Trustee'!$BD840-'CDE Intercept  '!$T840)/4)</f>
        <v>0</v>
      </c>
      <c r="N840" s="3">
        <f>IF($B$838=12,'payment summary to Trustee'!$AW840,('payment summary to Trustee'!$BD840-'CDE Intercept  '!$T840)/4)</f>
        <v>0</v>
      </c>
      <c r="O840" s="118">
        <v>0</v>
      </c>
      <c r="P840" s="3">
        <v>0</v>
      </c>
      <c r="Q840" s="3">
        <v>0</v>
      </c>
      <c r="R840" s="3">
        <f>SUM(F840:Q840)</f>
        <v>139.02000000000001</v>
      </c>
      <c r="T840" s="3">
        <f t="shared" ref="T840:T841" si="356">SUM(F840:J840)</f>
        <v>139.02000000000001</v>
      </c>
      <c r="U840" s="93">
        <f>SUM(K840:Q840)</f>
        <v>0</v>
      </c>
      <c r="V840" s="11">
        <f>SUM(T840:U840)-R840</f>
        <v>0</v>
      </c>
    </row>
    <row r="841" spans="1:22" ht="13.5" thickBot="1" x14ac:dyDescent="0.35">
      <c r="A841">
        <v>2196</v>
      </c>
      <c r="B841">
        <v>12.3</v>
      </c>
      <c r="E841" s="8" t="s">
        <v>10</v>
      </c>
      <c r="F841" s="3">
        <f>ROUND((62916.67+366595.83)*0.5561,2)</f>
        <v>238851.9</v>
      </c>
      <c r="G841" s="3">
        <f t="shared" ref="G841:N841" si="357">ROUND((62916.67+366595.83)*0.5561,2)</f>
        <v>238851.9</v>
      </c>
      <c r="H841" s="3">
        <f t="shared" si="357"/>
        <v>238851.9</v>
      </c>
      <c r="I841" s="3">
        <f t="shared" si="357"/>
        <v>238851.9</v>
      </c>
      <c r="J841" s="3">
        <f t="shared" si="357"/>
        <v>238851.9</v>
      </c>
      <c r="K841" s="60">
        <f>ROUND((62916.67+366595.85)*0.5561,2)+179138.92</f>
        <v>417990.83</v>
      </c>
      <c r="L841" s="3">
        <f>ROUND((62916.67+366595.83)*0.5561,2)-179138.92</f>
        <v>59712.979999999981</v>
      </c>
      <c r="M841" s="3">
        <f t="shared" si="357"/>
        <v>238851.9</v>
      </c>
      <c r="N841" s="3">
        <f t="shared" si="357"/>
        <v>238851.9</v>
      </c>
      <c r="O841" s="118">
        <f>ROUND((62916.67+348679.17)*0.5561,2)-29890.35</f>
        <v>198998.1</v>
      </c>
      <c r="P841" s="3">
        <f t="shared" ref="P841" si="358">ROUND((62916.67+348679.17)*0.5561,2)</f>
        <v>228888.45</v>
      </c>
      <c r="Q841" s="3">
        <f>ROUND((62916.63+348679.15)*0.5561,2)</f>
        <v>228888.41</v>
      </c>
      <c r="R841" s="3">
        <f>SUM(F841:Q841)</f>
        <v>2806442.0700000003</v>
      </c>
      <c r="S841" s="97"/>
      <c r="T841" s="3">
        <f t="shared" si="356"/>
        <v>1194259.5</v>
      </c>
      <c r="U841" s="94">
        <f>SUM(K841:Q841)</f>
        <v>1612182.5699999998</v>
      </c>
      <c r="V841" s="11">
        <f>SUM(T841:U841)-R841</f>
        <v>0</v>
      </c>
    </row>
    <row r="842" spans="1:22" ht="13.5" thickBot="1" x14ac:dyDescent="0.35">
      <c r="E842" s="13" t="s">
        <v>399</v>
      </c>
      <c r="F842" s="22">
        <f t="shared" ref="F842:R842" si="359">SUM(F839:F841)</f>
        <v>238990.91999999998</v>
      </c>
      <c r="G842" s="22">
        <f t="shared" si="359"/>
        <v>238851.9</v>
      </c>
      <c r="H842" s="22">
        <f t="shared" si="359"/>
        <v>238851.9</v>
      </c>
      <c r="I842" s="22">
        <f t="shared" si="359"/>
        <v>238851.9</v>
      </c>
      <c r="J842" s="22">
        <f t="shared" si="359"/>
        <v>238851.9</v>
      </c>
      <c r="K842" s="98">
        <f t="shared" si="359"/>
        <v>417990.83</v>
      </c>
      <c r="L842" s="22">
        <f t="shared" si="359"/>
        <v>59712.979999999981</v>
      </c>
      <c r="M842" s="22">
        <f t="shared" si="359"/>
        <v>238851.9</v>
      </c>
      <c r="N842" s="22">
        <f t="shared" si="359"/>
        <v>238851.9</v>
      </c>
      <c r="O842" s="119">
        <f t="shared" si="359"/>
        <v>198998.1</v>
      </c>
      <c r="P842" s="22">
        <f t="shared" si="359"/>
        <v>228888.45</v>
      </c>
      <c r="Q842" s="22">
        <f t="shared" si="359"/>
        <v>228888.41</v>
      </c>
      <c r="R842" s="22">
        <f t="shared" si="359"/>
        <v>2806581.0900000003</v>
      </c>
      <c r="T842" s="39">
        <f>SUM(T839:T841)</f>
        <v>1194398.52</v>
      </c>
      <c r="U842" s="78">
        <f>SUM(U839:U841)</f>
        <v>1612182.5699999998</v>
      </c>
      <c r="V842" s="11">
        <f>SUM(T842:U842)-R842</f>
        <v>0</v>
      </c>
    </row>
    <row r="843" spans="1:22" x14ac:dyDescent="0.3">
      <c r="E843" s="15"/>
      <c r="O843" s="118"/>
    </row>
    <row r="844" spans="1:22" ht="15.5" x14ac:dyDescent="0.35">
      <c r="A844" s="33" t="s">
        <v>14</v>
      </c>
      <c r="B844">
        <v>12</v>
      </c>
      <c r="C844" s="20">
        <f>+C832+1</f>
        <v>103</v>
      </c>
      <c r="D844" s="1" t="s">
        <v>208</v>
      </c>
      <c r="E844" s="25" t="s">
        <v>400</v>
      </c>
      <c r="O844" s="118"/>
    </row>
    <row r="845" spans="1:22" x14ac:dyDescent="0.3">
      <c r="B845">
        <v>12.1</v>
      </c>
      <c r="E845" s="8" t="s">
        <v>8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118">
        <v>0</v>
      </c>
      <c r="P845" s="3">
        <v>0</v>
      </c>
      <c r="Q845" s="3">
        <v>0</v>
      </c>
      <c r="R845" s="3">
        <f>SUM(F845:Q845)</f>
        <v>0</v>
      </c>
      <c r="T845" s="3">
        <f>SUM(F845:J845)</f>
        <v>0</v>
      </c>
      <c r="U845" s="93">
        <f>SUM(K845:Q845)</f>
        <v>0</v>
      </c>
      <c r="V845" s="11">
        <f>SUM(T845:U845)-R845</f>
        <v>0</v>
      </c>
    </row>
    <row r="846" spans="1:22" x14ac:dyDescent="0.3">
      <c r="B846">
        <v>12.2</v>
      </c>
      <c r="E846" s="8" t="s">
        <v>9</v>
      </c>
      <c r="F846" s="3">
        <f>ROUND((250*0.2817),2)</f>
        <v>70.430000000000007</v>
      </c>
      <c r="G846" s="3">
        <v>0</v>
      </c>
      <c r="H846" s="3">
        <v>0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118">
        <v>0</v>
      </c>
      <c r="P846" s="3">
        <v>0</v>
      </c>
      <c r="Q846" s="3">
        <v>0</v>
      </c>
      <c r="R846" s="3">
        <f>SUM(F846:Q846)</f>
        <v>70.430000000000007</v>
      </c>
      <c r="T846" s="3">
        <f t="shared" ref="T846:T847" si="360">SUM(F846:J846)</f>
        <v>70.430000000000007</v>
      </c>
      <c r="U846" s="93">
        <f>SUM(K846:Q846)</f>
        <v>0</v>
      </c>
      <c r="V846" s="11">
        <f>SUM(T846:U846)-R846</f>
        <v>0</v>
      </c>
    </row>
    <row r="847" spans="1:22" ht="13.5" thickBot="1" x14ac:dyDescent="0.35">
      <c r="A847" t="s">
        <v>401</v>
      </c>
      <c r="B847">
        <v>12.3</v>
      </c>
      <c r="E847" s="8" t="s">
        <v>10</v>
      </c>
      <c r="F847" s="3">
        <f>ROUND((37083.33+204445.31)*0.2817,2)</f>
        <v>68038.62</v>
      </c>
      <c r="G847" s="3">
        <f>ROUND((37083.33+204445.31)*0.2817,2)</f>
        <v>68038.62</v>
      </c>
      <c r="H847" s="3">
        <f>ROUND((37083.33+204445.31)*0.2817,2)</f>
        <v>68038.62</v>
      </c>
      <c r="I847" s="3">
        <f>ROUND((37083.33+204445.31)*0.2817,2)</f>
        <v>68038.62</v>
      </c>
      <c r="J847" s="3">
        <f>ROUND((37083.33+204445.31)*0.2817,2)</f>
        <v>68038.62</v>
      </c>
      <c r="K847" s="3">
        <f>ROUND((37083.37+204445.33)*0.2817,2)</f>
        <v>68038.63</v>
      </c>
      <c r="L847" s="3">
        <f>ROUND((38750+202619.79)*0.2817,2)</f>
        <v>67993.87</v>
      </c>
      <c r="M847" s="3">
        <f t="shared" ref="M847:P847" si="361">ROUND((38750+202619.79)*0.2817,2)</f>
        <v>67993.87</v>
      </c>
      <c r="N847" s="3">
        <f t="shared" si="361"/>
        <v>67993.87</v>
      </c>
      <c r="O847" s="118">
        <f t="shared" si="361"/>
        <v>67993.87</v>
      </c>
      <c r="P847" s="3">
        <f t="shared" si="361"/>
        <v>67993.87</v>
      </c>
      <c r="Q847" s="3">
        <f>ROUND((38750+202619.8)*0.2817,2)</f>
        <v>67993.87</v>
      </c>
      <c r="R847" s="3">
        <f>SUM(F847:Q847)</f>
        <v>816194.95</v>
      </c>
      <c r="T847" s="3">
        <f t="shared" si="360"/>
        <v>340193.1</v>
      </c>
      <c r="U847" s="94">
        <f>SUM(K847:Q847)</f>
        <v>476001.85</v>
      </c>
      <c r="V847" s="11">
        <f>SUM(T847:U847)-R847</f>
        <v>0</v>
      </c>
    </row>
    <row r="848" spans="1:22" ht="13.5" thickBot="1" x14ac:dyDescent="0.35">
      <c r="E848" s="13" t="s">
        <v>196</v>
      </c>
      <c r="F848" s="22">
        <f t="shared" ref="F848:R848" si="362">SUM(F845:F847)</f>
        <v>68109.049999999988</v>
      </c>
      <c r="G848" s="22">
        <f t="shared" si="362"/>
        <v>68038.62</v>
      </c>
      <c r="H848" s="22">
        <f t="shared" si="362"/>
        <v>68038.62</v>
      </c>
      <c r="I848" s="22">
        <f t="shared" si="362"/>
        <v>68038.62</v>
      </c>
      <c r="J848" s="22">
        <f t="shared" si="362"/>
        <v>68038.62</v>
      </c>
      <c r="K848" s="22">
        <f t="shared" si="362"/>
        <v>68038.63</v>
      </c>
      <c r="L848" s="22">
        <f t="shared" si="362"/>
        <v>67993.87</v>
      </c>
      <c r="M848" s="22">
        <f t="shared" si="362"/>
        <v>67993.87</v>
      </c>
      <c r="N848" s="22">
        <f t="shared" si="362"/>
        <v>67993.87</v>
      </c>
      <c r="O848" s="119">
        <f t="shared" si="362"/>
        <v>67993.87</v>
      </c>
      <c r="P848" s="22">
        <f t="shared" si="362"/>
        <v>67993.87</v>
      </c>
      <c r="Q848" s="22">
        <f t="shared" si="362"/>
        <v>67993.87</v>
      </c>
      <c r="R848" s="22">
        <f t="shared" si="362"/>
        <v>816265.38</v>
      </c>
      <c r="T848" s="39">
        <f>SUM(T845:T847)</f>
        <v>340263.52999999997</v>
      </c>
      <c r="U848" s="78">
        <f>SUM(U845:U847)</f>
        <v>476001.85</v>
      </c>
      <c r="V848" s="11">
        <f>SUM(T848:U848)-R848</f>
        <v>0</v>
      </c>
    </row>
    <row r="849" spans="1:22" x14ac:dyDescent="0.3">
      <c r="E849" s="15"/>
      <c r="O849" s="118"/>
    </row>
    <row r="850" spans="1:22" ht="15.5" x14ac:dyDescent="0.35">
      <c r="A850" s="33" t="s">
        <v>14</v>
      </c>
      <c r="B850">
        <v>12</v>
      </c>
      <c r="C850" s="20">
        <f>C844</f>
        <v>103</v>
      </c>
      <c r="D850" s="1" t="s">
        <v>212</v>
      </c>
      <c r="E850" s="25" t="s">
        <v>402</v>
      </c>
      <c r="O850" s="118"/>
    </row>
    <row r="851" spans="1:22" x14ac:dyDescent="0.3">
      <c r="B851">
        <v>12.1</v>
      </c>
      <c r="E851" s="8" t="s">
        <v>8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118">
        <v>0</v>
      </c>
      <c r="P851" s="3">
        <v>0</v>
      </c>
      <c r="Q851" s="3">
        <v>0</v>
      </c>
      <c r="R851" s="3">
        <f>SUM(F851:Q851)</f>
        <v>0</v>
      </c>
      <c r="T851" s="3">
        <f>SUM(F851:J851)</f>
        <v>0</v>
      </c>
      <c r="U851" s="93">
        <f>SUM(K851:Q851)</f>
        <v>0</v>
      </c>
      <c r="V851" s="11">
        <f>SUM(T851:U851)-R851</f>
        <v>0</v>
      </c>
    </row>
    <row r="852" spans="1:22" x14ac:dyDescent="0.3">
      <c r="B852">
        <v>12.2</v>
      </c>
      <c r="E852" s="8" t="s">
        <v>9</v>
      </c>
      <c r="F852" s="3">
        <v>110.17</v>
      </c>
      <c r="G852" s="3">
        <v>0</v>
      </c>
      <c r="H852" s="3">
        <v>0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118">
        <v>0</v>
      </c>
      <c r="P852" s="3">
        <v>0</v>
      </c>
      <c r="Q852" s="3">
        <v>0</v>
      </c>
      <c r="R852" s="3">
        <f>SUM(F852:Q852)</f>
        <v>110.17</v>
      </c>
      <c r="T852" s="3">
        <f t="shared" ref="T852:T853" si="363">SUM(F852:J852)</f>
        <v>110.17</v>
      </c>
      <c r="U852" s="93">
        <f>SUM(K852:Q852)</f>
        <v>0</v>
      </c>
      <c r="V852" s="11">
        <f>SUM(T852:U852)-R852</f>
        <v>0</v>
      </c>
    </row>
    <row r="853" spans="1:22" ht="13.5" thickBot="1" x14ac:dyDescent="0.35">
      <c r="A853">
        <v>2067</v>
      </c>
      <c r="B853">
        <v>12.3</v>
      </c>
      <c r="E853" s="8" t="s">
        <v>10</v>
      </c>
      <c r="F853" s="3">
        <f>ROUND((37083.33+204445.31)*0.4407,2)</f>
        <v>106441.67</v>
      </c>
      <c r="G853" s="3">
        <f>ROUND((37083.33+204445.31)*0.4407,2)</f>
        <v>106441.67</v>
      </c>
      <c r="H853" s="3">
        <f>ROUND((37083.33+204445.31)*0.4407,2)</f>
        <v>106441.67</v>
      </c>
      <c r="I853" s="3">
        <f>ROUND((37083.33+204445.31)*0.4407,2)</f>
        <v>106441.67</v>
      </c>
      <c r="J853" s="3">
        <f>ROUND((37083.33+204445.31)*0.4407,2)</f>
        <v>106441.67</v>
      </c>
      <c r="K853" s="3">
        <f>ROUND((37083.37+204445.33)*0.4407,2)</f>
        <v>106441.7</v>
      </c>
      <c r="L853" s="3">
        <f>ROUND((38750+202619.79)*0.4407,2)</f>
        <v>106371.67</v>
      </c>
      <c r="M853" s="3">
        <f t="shared" ref="M853:P853" si="364">ROUND((38750+202619.79)*0.4407,2)</f>
        <v>106371.67</v>
      </c>
      <c r="N853" s="3">
        <f t="shared" si="364"/>
        <v>106371.67</v>
      </c>
      <c r="O853" s="118">
        <f t="shared" si="364"/>
        <v>106371.67</v>
      </c>
      <c r="P853" s="3">
        <f t="shared" si="364"/>
        <v>106371.67</v>
      </c>
      <c r="Q853" s="3">
        <f>ROUND((38750+202619.8)*0.4407,2)</f>
        <v>106371.67</v>
      </c>
      <c r="R853" s="3">
        <f>SUM(F853:Q853)</f>
        <v>1276880.0699999998</v>
      </c>
      <c r="T853" s="3">
        <f t="shared" si="363"/>
        <v>532208.35</v>
      </c>
      <c r="U853" s="94">
        <f>SUM(K853:Q853)</f>
        <v>744671.72000000009</v>
      </c>
      <c r="V853" s="11">
        <f>SUM(T853:U853)-R853</f>
        <v>0</v>
      </c>
    </row>
    <row r="854" spans="1:22" ht="13.5" thickBot="1" x14ac:dyDescent="0.35">
      <c r="E854" s="13" t="s">
        <v>403</v>
      </c>
      <c r="F854" s="22">
        <f t="shared" ref="F854:R854" si="365">SUM(F851:F853)</f>
        <v>106551.84</v>
      </c>
      <c r="G854" s="22">
        <f t="shared" si="365"/>
        <v>106441.67</v>
      </c>
      <c r="H854" s="22">
        <f t="shared" si="365"/>
        <v>106441.67</v>
      </c>
      <c r="I854" s="22">
        <f t="shared" si="365"/>
        <v>106441.67</v>
      </c>
      <c r="J854" s="22">
        <f t="shared" si="365"/>
        <v>106441.67</v>
      </c>
      <c r="K854" s="22">
        <f t="shared" si="365"/>
        <v>106441.7</v>
      </c>
      <c r="L854" s="22">
        <f t="shared" si="365"/>
        <v>106371.67</v>
      </c>
      <c r="M854" s="22">
        <f t="shared" si="365"/>
        <v>106371.67</v>
      </c>
      <c r="N854" s="22">
        <f t="shared" si="365"/>
        <v>106371.67</v>
      </c>
      <c r="O854" s="119">
        <f t="shared" si="365"/>
        <v>106371.67</v>
      </c>
      <c r="P854" s="22">
        <f t="shared" si="365"/>
        <v>106371.67</v>
      </c>
      <c r="Q854" s="22">
        <f t="shared" si="365"/>
        <v>106371.67</v>
      </c>
      <c r="R854" s="22">
        <f t="shared" si="365"/>
        <v>1276990.2399999998</v>
      </c>
      <c r="T854" s="39">
        <f>SUM(T851:T853)</f>
        <v>532318.52</v>
      </c>
      <c r="U854" s="78">
        <f>SUM(U851:U853)</f>
        <v>744671.72000000009</v>
      </c>
      <c r="V854" s="11">
        <f>SUM(T854:U854)-R854</f>
        <v>0</v>
      </c>
    </row>
    <row r="855" spans="1:22" x14ac:dyDescent="0.3">
      <c r="E855" s="15"/>
      <c r="O855" s="118"/>
    </row>
    <row r="856" spans="1:22" ht="15.5" x14ac:dyDescent="0.35">
      <c r="A856" s="99"/>
      <c r="B856">
        <v>12</v>
      </c>
      <c r="C856" s="20">
        <f>C844</f>
        <v>103</v>
      </c>
      <c r="D856" s="1" t="s">
        <v>215</v>
      </c>
      <c r="E856" s="25" t="s">
        <v>404</v>
      </c>
      <c r="O856" s="118"/>
    </row>
    <row r="857" spans="1:22" x14ac:dyDescent="0.3">
      <c r="B857">
        <v>12.1</v>
      </c>
      <c r="E857" s="8" t="s">
        <v>8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60">
        <f>IF($B$856=12,'payment summary to Trustee'!$AW857,('payment summary to Trustee'!$BD857-'CDE Intercept  '!$T857)/4)</f>
        <v>0</v>
      </c>
      <c r="L857" s="3">
        <f>IF($B$856=12,'payment summary to Trustee'!$AW857,('payment summary to Trustee'!$BD857-'CDE Intercept  '!$T857)/4)</f>
        <v>0</v>
      </c>
      <c r="M857" s="3">
        <f>IF($B$856=12,'payment summary to Trustee'!$AW857,('payment summary to Trustee'!$BD857-'CDE Intercept  '!$T857)/4)</f>
        <v>0</v>
      </c>
      <c r="N857" s="3">
        <f>IF($B$856=12,'payment summary to Trustee'!$AW857,('payment summary to Trustee'!$BD857-'CDE Intercept  '!$T857)/4)</f>
        <v>0</v>
      </c>
      <c r="O857" s="118">
        <v>0</v>
      </c>
      <c r="P857" s="3">
        <v>0</v>
      </c>
      <c r="Q857" s="3">
        <v>0</v>
      </c>
      <c r="R857" s="3">
        <f>SUM(F857:Q857)</f>
        <v>0</v>
      </c>
      <c r="T857" s="3">
        <f>SUM(F857:J857)</f>
        <v>0</v>
      </c>
      <c r="U857" s="93">
        <f>SUM(K857:Q857)</f>
        <v>0</v>
      </c>
      <c r="V857" s="11">
        <f>SUM(T857:U857)-R857</f>
        <v>0</v>
      </c>
    </row>
    <row r="858" spans="1:22" x14ac:dyDescent="0.3">
      <c r="B858">
        <v>12.2</v>
      </c>
      <c r="E858" s="8" t="s">
        <v>9</v>
      </c>
      <c r="F858" s="3">
        <f>ROUND((250*0.2776),2)</f>
        <v>69.400000000000006</v>
      </c>
      <c r="G858" s="3">
        <v>0</v>
      </c>
      <c r="H858" s="3">
        <v>0</v>
      </c>
      <c r="I858" s="3">
        <v>0</v>
      </c>
      <c r="J858" s="3">
        <v>0</v>
      </c>
      <c r="K858" s="60">
        <f>IF($B$856=12,'payment summary to Trustee'!$AW858,('payment summary to Trustee'!$BD858-'CDE Intercept  '!$T858)/4)</f>
        <v>0</v>
      </c>
      <c r="L858" s="3">
        <f>IF($B$856=12,'payment summary to Trustee'!$AW858,('payment summary to Trustee'!$BD858-'CDE Intercept  '!$T858)/4)</f>
        <v>0</v>
      </c>
      <c r="M858" s="3">
        <f>IF($B$856=12,'payment summary to Trustee'!$AW858,('payment summary to Trustee'!$BD858-'CDE Intercept  '!$T858)/4)</f>
        <v>0</v>
      </c>
      <c r="N858" s="3">
        <f>IF($B$856=12,'payment summary to Trustee'!$AW858,('payment summary to Trustee'!$BD858-'CDE Intercept  '!$T858)/4)</f>
        <v>0</v>
      </c>
      <c r="O858" s="118">
        <v>0</v>
      </c>
      <c r="P858" s="3">
        <v>0</v>
      </c>
      <c r="Q858" s="3">
        <v>0</v>
      </c>
      <c r="R858" s="3">
        <f>SUM(F858:Q858)</f>
        <v>69.400000000000006</v>
      </c>
      <c r="T858" s="3">
        <f t="shared" ref="T858:T859" si="366">SUM(F858:J858)</f>
        <v>69.400000000000006</v>
      </c>
      <c r="U858" s="93">
        <f>SUM(K858:Q858)</f>
        <v>0</v>
      </c>
      <c r="V858" s="11">
        <f>SUM(T858:U858)-R858</f>
        <v>0</v>
      </c>
    </row>
    <row r="859" spans="1:22" ht="13.5" thickBot="1" x14ac:dyDescent="0.35">
      <c r="A859">
        <v>1387</v>
      </c>
      <c r="B859">
        <v>12.3</v>
      </c>
      <c r="E859" s="8" t="s">
        <v>10</v>
      </c>
      <c r="F859" s="3">
        <f>ROUND((37083.33+204445.31)*0.2776,2)</f>
        <v>67048.350000000006</v>
      </c>
      <c r="G859" s="3">
        <f>ROUND((37083.33+204445.31)*0.2776,2)</f>
        <v>67048.350000000006</v>
      </c>
      <c r="H859" s="3">
        <f>ROUND((37083.33+204445.31)*0.2776,2)</f>
        <v>67048.350000000006</v>
      </c>
      <c r="I859" s="3">
        <f>ROUND((37083.33+204445.31)*0.2776,2)</f>
        <v>67048.350000000006</v>
      </c>
      <c r="J859" s="3">
        <f>ROUND((37083.33+204445.31)*0.2776,2)</f>
        <v>67048.350000000006</v>
      </c>
      <c r="K859" s="60">
        <f>ROUND((37083.37+204445.33)*0.2776,2)+50220.1</f>
        <v>117268.47</v>
      </c>
      <c r="L859" s="3">
        <f>ROUND((38750+202619.79)*0.2776,2)-50220.1</f>
        <v>16784.150000000001</v>
      </c>
      <c r="M859" s="3">
        <f t="shared" ref="M859:P859" si="367">ROUND((38750+202619.79)*0.2776,2)</f>
        <v>67004.25</v>
      </c>
      <c r="N859" s="3">
        <f t="shared" si="367"/>
        <v>67004.25</v>
      </c>
      <c r="O859" s="118">
        <f t="shared" si="367"/>
        <v>67004.25</v>
      </c>
      <c r="P859" s="3">
        <f t="shared" si="367"/>
        <v>67004.25</v>
      </c>
      <c r="Q859" s="3">
        <f>ROUND((38750+202619.8)*0.2776,2)</f>
        <v>67004.259999999995</v>
      </c>
      <c r="R859" s="3">
        <f>SUM(F859:Q859)</f>
        <v>804315.63</v>
      </c>
      <c r="T859" s="3">
        <f t="shared" si="366"/>
        <v>335241.75</v>
      </c>
      <c r="U859" s="94">
        <f>SUM(K859:Q859)</f>
        <v>469073.88</v>
      </c>
      <c r="V859" s="11">
        <f>SUM(T859:U859)-R859</f>
        <v>0</v>
      </c>
    </row>
    <row r="860" spans="1:22" ht="13.5" thickBot="1" x14ac:dyDescent="0.35">
      <c r="E860" s="13" t="s">
        <v>405</v>
      </c>
      <c r="F860" s="22">
        <f t="shared" ref="F860:R860" si="368">SUM(F857:F859)</f>
        <v>67117.75</v>
      </c>
      <c r="G860" s="22">
        <f t="shared" si="368"/>
        <v>67048.350000000006</v>
      </c>
      <c r="H860" s="22">
        <f t="shared" si="368"/>
        <v>67048.350000000006</v>
      </c>
      <c r="I860" s="22">
        <f t="shared" si="368"/>
        <v>67048.350000000006</v>
      </c>
      <c r="J860" s="22">
        <f t="shared" si="368"/>
        <v>67048.350000000006</v>
      </c>
      <c r="K860" s="98">
        <f t="shared" si="368"/>
        <v>117268.47</v>
      </c>
      <c r="L860" s="22">
        <f t="shared" si="368"/>
        <v>16784.150000000001</v>
      </c>
      <c r="M860" s="22">
        <f t="shared" si="368"/>
        <v>67004.25</v>
      </c>
      <c r="N860" s="22">
        <f t="shared" si="368"/>
        <v>67004.25</v>
      </c>
      <c r="O860" s="119">
        <f t="shared" si="368"/>
        <v>67004.25</v>
      </c>
      <c r="P860" s="22">
        <f t="shared" si="368"/>
        <v>67004.25</v>
      </c>
      <c r="Q860" s="22">
        <f t="shared" si="368"/>
        <v>67004.259999999995</v>
      </c>
      <c r="R860" s="22">
        <f t="shared" si="368"/>
        <v>804385.03</v>
      </c>
      <c r="T860" s="39">
        <f>SUM(T857:T859)</f>
        <v>335311.15000000002</v>
      </c>
      <c r="U860" s="78">
        <f>SUM(U857:U859)</f>
        <v>469073.88</v>
      </c>
      <c r="V860" s="11">
        <f>SUM(T860:U860)-R860</f>
        <v>0</v>
      </c>
    </row>
    <row r="861" spans="1:22" x14ac:dyDescent="0.3">
      <c r="E861" s="15"/>
      <c r="O861" s="118"/>
    </row>
    <row r="862" spans="1:22" ht="15.5" x14ac:dyDescent="0.35">
      <c r="B862">
        <v>9</v>
      </c>
      <c r="C862" s="20">
        <f>C856+1</f>
        <v>104</v>
      </c>
      <c r="D862" s="1" t="s">
        <v>14</v>
      </c>
      <c r="E862" s="25" t="s">
        <v>406</v>
      </c>
      <c r="O862" s="118"/>
    </row>
    <row r="863" spans="1:22" x14ac:dyDescent="0.3">
      <c r="B863">
        <v>9.1</v>
      </c>
      <c r="E863" s="8" t="s">
        <v>8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>
        <f>IF($B$862=12,'payment summary to Trustee'!$AW863,('payment summary to Trustee'!$BD863-'CDE Intercept  '!$T863)/4)</f>
        <v>0</v>
      </c>
      <c r="L863" s="3">
        <f>IF($B$862=12,'payment summary to Trustee'!$AW863,('payment summary to Trustee'!$BD863-'CDE Intercept  '!$T863)/4)</f>
        <v>0</v>
      </c>
      <c r="M863" s="3">
        <f>IF($B$862=12,'payment summary to Trustee'!$AW863,('payment summary to Trustee'!$BD863-'CDE Intercept  '!$T863)/4)</f>
        <v>0</v>
      </c>
      <c r="N863" s="3">
        <v>0</v>
      </c>
      <c r="O863" s="118">
        <f>IF($B$862=12,'payment summary to Trustee'!$AW863,('payment summary to Trustee'!$BD863-'CDE Intercept  '!$T863)/4)</f>
        <v>0</v>
      </c>
      <c r="P863" s="3">
        <v>0</v>
      </c>
      <c r="Q863" s="3">
        <v>0</v>
      </c>
      <c r="R863" s="3">
        <f>SUM(F863:Q863)</f>
        <v>0</v>
      </c>
      <c r="T863" s="3">
        <f>SUM(F863:J863)</f>
        <v>0</v>
      </c>
      <c r="U863" s="93">
        <f>SUM(K863:Q863)</f>
        <v>0</v>
      </c>
      <c r="V863" s="11">
        <f>SUM(T863:U863)-R863</f>
        <v>0</v>
      </c>
    </row>
    <row r="864" spans="1:22" x14ac:dyDescent="0.3">
      <c r="B864">
        <v>9.1999999999999993</v>
      </c>
      <c r="E864" s="8" t="s">
        <v>9</v>
      </c>
      <c r="F864" s="3">
        <v>250</v>
      </c>
      <c r="G864" s="3">
        <v>0</v>
      </c>
      <c r="H864" s="3">
        <v>0</v>
      </c>
      <c r="I864" s="3">
        <v>0</v>
      </c>
      <c r="J864" s="3">
        <v>0</v>
      </c>
      <c r="K864" s="3">
        <f>IF($B$862=12,'payment summary to Trustee'!$AW864,('payment summary to Trustee'!$BD864-'CDE Intercept  '!$T864)/4)</f>
        <v>0</v>
      </c>
      <c r="L864" s="3">
        <f>IF($B$862=12,'payment summary to Trustee'!$AW864,('payment summary to Trustee'!$BD864-'CDE Intercept  '!$T864)/4)</f>
        <v>0</v>
      </c>
      <c r="M864" s="3">
        <f>IF($B$862=12,'payment summary to Trustee'!$AW864,('payment summary to Trustee'!$BD864-'CDE Intercept  '!$T864)/4)</f>
        <v>0</v>
      </c>
      <c r="N864" s="3">
        <v>0</v>
      </c>
      <c r="O864" s="118">
        <f>IF($B$862=12,'payment summary to Trustee'!$AW864,('payment summary to Trustee'!$BD864-'CDE Intercept  '!$T864)/4)</f>
        <v>0</v>
      </c>
      <c r="P864" s="3">
        <v>0</v>
      </c>
      <c r="Q864" s="3">
        <v>0</v>
      </c>
      <c r="R864" s="3">
        <f>SUM(F864:Q864)</f>
        <v>250</v>
      </c>
      <c r="T864" s="3">
        <f t="shared" ref="T864:T865" si="369">SUM(F864:J864)</f>
        <v>250</v>
      </c>
      <c r="U864" s="93">
        <f>SUM(K864:Q864)</f>
        <v>0</v>
      </c>
      <c r="V864" s="11">
        <f>SUM(T864:U864)-R864</f>
        <v>0</v>
      </c>
    </row>
    <row r="865" spans="1:22" ht="13.5" thickBot="1" x14ac:dyDescent="0.35">
      <c r="A865" t="s">
        <v>407</v>
      </c>
      <c r="B865">
        <v>9.3000000000000007</v>
      </c>
      <c r="E865" s="8" t="s">
        <v>10</v>
      </c>
      <c r="F865" s="3">
        <f>14633.78+17933.26</f>
        <v>32567.040000000001</v>
      </c>
      <c r="G865" s="3">
        <f>14676.71+17890.33</f>
        <v>32567.040000000001</v>
      </c>
      <c r="H865" s="3">
        <f>14719.76+17847.28</f>
        <v>32567.040000000001</v>
      </c>
      <c r="I865" s="3">
        <f>14762.94+17804.1</f>
        <v>32567.040000000001</v>
      </c>
      <c r="J865" s="3">
        <f>14806.24+17760.8</f>
        <v>32567.040000000001</v>
      </c>
      <c r="K865" s="3">
        <f>IF($B$862=12,'payment summary to Trustee'!$AW865,('payment summary to Trustee'!$BD865-'CDE Intercept  '!$T865)/4)</f>
        <v>56992.31749999999</v>
      </c>
      <c r="L865" s="3">
        <f>IF($B$862=12,'payment summary to Trustee'!$AW865,('payment summary to Trustee'!$BD865-'CDE Intercept  '!$T865)/4)</f>
        <v>56992.31749999999</v>
      </c>
      <c r="M865" s="3">
        <f>IF($B$862=12,'payment summary to Trustee'!$AW865,('payment summary to Trustee'!$BD865-'CDE Intercept  '!$T865)/4)</f>
        <v>56992.31749999999</v>
      </c>
      <c r="N865" s="3">
        <v>0</v>
      </c>
      <c r="O865" s="118">
        <f>IF($B$862=12,'payment summary to Trustee'!$AW865,('payment summary to Trustee'!$BD865-'CDE Intercept  '!$T865)/4)</f>
        <v>56992.31749999999</v>
      </c>
      <c r="P865" s="3">
        <v>0</v>
      </c>
      <c r="Q865" s="3">
        <v>0</v>
      </c>
      <c r="R865" s="3">
        <f>SUM(F865:Q865)</f>
        <v>390804.47000000003</v>
      </c>
      <c r="T865" s="3">
        <f t="shared" si="369"/>
        <v>162835.20000000001</v>
      </c>
      <c r="U865" s="94">
        <f>SUM(K865:Q865)</f>
        <v>227969.26999999996</v>
      </c>
      <c r="V865" s="11">
        <f>SUM(T865:U865)-R865</f>
        <v>0</v>
      </c>
    </row>
    <row r="866" spans="1:22" ht="13.5" thickBot="1" x14ac:dyDescent="0.35">
      <c r="E866" s="13" t="s">
        <v>408</v>
      </c>
      <c r="F866" s="22">
        <f t="shared" ref="F866:R866" si="370">SUM(F863:F865)</f>
        <v>32817.040000000001</v>
      </c>
      <c r="G866" s="22">
        <f t="shared" si="370"/>
        <v>32567.040000000001</v>
      </c>
      <c r="H866" s="22">
        <f t="shared" si="370"/>
        <v>32567.040000000001</v>
      </c>
      <c r="I866" s="22">
        <f t="shared" si="370"/>
        <v>32567.040000000001</v>
      </c>
      <c r="J866" s="22">
        <f t="shared" si="370"/>
        <v>32567.040000000001</v>
      </c>
      <c r="K866" s="22">
        <f t="shared" si="370"/>
        <v>56992.31749999999</v>
      </c>
      <c r="L866" s="22">
        <f t="shared" si="370"/>
        <v>56992.31749999999</v>
      </c>
      <c r="M866" s="22">
        <f t="shared" si="370"/>
        <v>56992.31749999999</v>
      </c>
      <c r="N866" s="22">
        <f t="shared" si="370"/>
        <v>0</v>
      </c>
      <c r="O866" s="119">
        <f t="shared" si="370"/>
        <v>56992.31749999999</v>
      </c>
      <c r="P866" s="22">
        <f t="shared" ref="P866" si="371">SUM(P863:P865)</f>
        <v>0</v>
      </c>
      <c r="Q866" s="22">
        <f t="shared" si="370"/>
        <v>0</v>
      </c>
      <c r="R866" s="22">
        <f t="shared" si="370"/>
        <v>391054.47000000003</v>
      </c>
      <c r="T866" s="39">
        <f>SUM(T863:T865)</f>
        <v>163085.20000000001</v>
      </c>
      <c r="U866" s="78">
        <f>SUM(U863:U865)</f>
        <v>227969.26999999996</v>
      </c>
      <c r="V866" s="11">
        <f>SUM(T866:U866)-R866</f>
        <v>0</v>
      </c>
    </row>
    <row r="867" spans="1:22" x14ac:dyDescent="0.3">
      <c r="E867" s="15"/>
      <c r="O867" s="118"/>
    </row>
    <row r="868" spans="1:22" ht="15.5" x14ac:dyDescent="0.35">
      <c r="B868">
        <v>9</v>
      </c>
      <c r="C868" s="20">
        <f>C862+1</f>
        <v>105</v>
      </c>
      <c r="D868" s="1" t="s">
        <v>14</v>
      </c>
      <c r="E868" s="25" t="s">
        <v>409</v>
      </c>
      <c r="O868" s="118"/>
    </row>
    <row r="869" spans="1:22" x14ac:dyDescent="0.3">
      <c r="B869">
        <v>9.1</v>
      </c>
      <c r="E869" s="8" t="s">
        <v>8</v>
      </c>
      <c r="F869" s="3">
        <v>858.33</v>
      </c>
      <c r="G869" s="3">
        <v>858.33</v>
      </c>
      <c r="H869" s="3">
        <v>858.33</v>
      </c>
      <c r="I869" s="3">
        <v>858.33</v>
      </c>
      <c r="J869" s="3">
        <v>858.33</v>
      </c>
      <c r="K869" s="3">
        <f>IF($B$868=12,'payment summary to Trustee'!$AW869,('payment summary to Trustee'!$BD869-'CDE Intercept  '!$T869)/4)</f>
        <v>1502.0775000000001</v>
      </c>
      <c r="L869" s="3">
        <f>IF($B$868=12,'payment summary to Trustee'!$AW869,('payment summary to Trustee'!$BD869-'CDE Intercept  '!$T869)/4)</f>
        <v>1502.0775000000001</v>
      </c>
      <c r="M869" s="3">
        <f>IF($B$868=12,'payment summary to Trustee'!$AW869,('payment summary to Trustee'!$BD869-'CDE Intercept  '!$T869)/4)</f>
        <v>1502.0775000000001</v>
      </c>
      <c r="N869" s="3">
        <v>0</v>
      </c>
      <c r="O869" s="118">
        <f>IF($B$868=12,'payment summary to Trustee'!$AW869,('payment summary to Trustee'!$BD869-'CDE Intercept  '!$T869)/4)</f>
        <v>1502.0775000000001</v>
      </c>
      <c r="P869" s="3">
        <v>0</v>
      </c>
      <c r="Q869" s="3">
        <v>0</v>
      </c>
      <c r="R869" s="3">
        <f>SUM(F869:Q869)</f>
        <v>10299.960000000001</v>
      </c>
      <c r="T869" s="3">
        <f>SUM(F869:J869)</f>
        <v>4291.6500000000005</v>
      </c>
      <c r="U869" s="93">
        <f>SUM(K869:Q869)</f>
        <v>6008.31</v>
      </c>
      <c r="V869" s="11">
        <f>SUM(T869:U869)-R869</f>
        <v>0</v>
      </c>
    </row>
    <row r="870" spans="1:22" x14ac:dyDescent="0.3">
      <c r="B870">
        <v>9.1999999999999993</v>
      </c>
      <c r="E870" s="8" t="s">
        <v>9</v>
      </c>
      <c r="F870" s="3">
        <v>250</v>
      </c>
      <c r="G870" s="3">
        <v>0</v>
      </c>
      <c r="H870" s="3">
        <v>0</v>
      </c>
      <c r="I870" s="3">
        <v>0</v>
      </c>
      <c r="J870" s="3">
        <v>0</v>
      </c>
      <c r="K870" s="3">
        <f>IF($B$868=12,'payment summary to Trustee'!$AW870,('payment summary to Trustee'!$BD870-'CDE Intercept  '!$T870)/4)</f>
        <v>0</v>
      </c>
      <c r="L870" s="3">
        <f>IF($B$868=12,'payment summary to Trustee'!$AW870,('payment summary to Trustee'!$BD870-'CDE Intercept  '!$T870)/4)</f>
        <v>0</v>
      </c>
      <c r="M870" s="3">
        <f>IF($B$868=12,'payment summary to Trustee'!$AW870,('payment summary to Trustee'!$BD870-'CDE Intercept  '!$T870)/4)</f>
        <v>0</v>
      </c>
      <c r="N870" s="3">
        <v>0</v>
      </c>
      <c r="O870" s="118">
        <f>IF($B$868=12,'payment summary to Trustee'!$AW870,('payment summary to Trustee'!$BD870-'CDE Intercept  '!$T870)/4)</f>
        <v>0</v>
      </c>
      <c r="P870" s="3">
        <v>0</v>
      </c>
      <c r="Q870" s="3">
        <v>0</v>
      </c>
      <c r="R870" s="3">
        <f>SUM(F870:Q870)</f>
        <v>250</v>
      </c>
      <c r="T870" s="3">
        <f t="shared" ref="T870:T871" si="372">SUM(F870:J870)</f>
        <v>250</v>
      </c>
      <c r="U870" s="93">
        <f>SUM(K870:Q870)</f>
        <v>0</v>
      </c>
      <c r="V870" s="11">
        <f>SUM(T870:U870)-R870</f>
        <v>0</v>
      </c>
    </row>
    <row r="871" spans="1:22" ht="13.5" thickBot="1" x14ac:dyDescent="0.35">
      <c r="A871" t="s">
        <v>410</v>
      </c>
      <c r="B871">
        <v>9.3000000000000007</v>
      </c>
      <c r="E871" s="8" t="s">
        <v>10</v>
      </c>
      <c r="F871" s="3">
        <f>19583.33+39369.79</f>
        <v>58953.120000000003</v>
      </c>
      <c r="G871" s="3">
        <f t="shared" ref="G871:I871" si="373">19583.33+39369.79</f>
        <v>58953.120000000003</v>
      </c>
      <c r="H871" s="3">
        <f t="shared" si="373"/>
        <v>58953.120000000003</v>
      </c>
      <c r="I871" s="3">
        <f t="shared" si="373"/>
        <v>58953.120000000003</v>
      </c>
      <c r="J871" s="3">
        <f>20416.67+38390.63</f>
        <v>58807.299999999996</v>
      </c>
      <c r="K871" s="3">
        <f>IF($B$868=12,'payment summary to Trustee'!$AW871,('payment summary to Trustee'!$BD871-'CDE Intercept  '!$T871)/4)</f>
        <v>102912.77500000002</v>
      </c>
      <c r="L871" s="3">
        <f>IF($B$868=12,'payment summary to Trustee'!$AW871,('payment summary to Trustee'!$BD871-'CDE Intercept  '!$T871)/4)</f>
        <v>102912.77500000002</v>
      </c>
      <c r="M871" s="3">
        <f>IF($B$868=12,'payment summary to Trustee'!$AW871,('payment summary to Trustee'!$BD871-'CDE Intercept  '!$T871)/4)</f>
        <v>102912.77500000002</v>
      </c>
      <c r="N871" s="3">
        <v>0</v>
      </c>
      <c r="O871" s="118">
        <f>IF($B$868=12,'payment summary to Trustee'!$AW871,('payment summary to Trustee'!$BD871-'CDE Intercept  '!$T871)/4)</f>
        <v>102912.77500000002</v>
      </c>
      <c r="P871" s="3">
        <v>0</v>
      </c>
      <c r="Q871" s="3">
        <v>0</v>
      </c>
      <c r="R871" s="3">
        <f>SUM(F871:Q871)</f>
        <v>706270.88000000012</v>
      </c>
      <c r="T871" s="3">
        <f t="shared" si="372"/>
        <v>294619.78000000003</v>
      </c>
      <c r="U871" s="94">
        <f>SUM(K871:Q871)</f>
        <v>411651.10000000009</v>
      </c>
      <c r="V871" s="11">
        <f>SUM(T871:U871)-R871</f>
        <v>0</v>
      </c>
    </row>
    <row r="872" spans="1:22" ht="13.5" thickBot="1" x14ac:dyDescent="0.35">
      <c r="E872" s="13" t="s">
        <v>135</v>
      </c>
      <c r="F872" s="22">
        <f t="shared" ref="F872:R872" si="374">SUM(F869:F871)</f>
        <v>60061.450000000004</v>
      </c>
      <c r="G872" s="22">
        <f t="shared" si="374"/>
        <v>59811.450000000004</v>
      </c>
      <c r="H872" s="22">
        <f t="shared" si="374"/>
        <v>59811.450000000004</v>
      </c>
      <c r="I872" s="22">
        <f t="shared" si="374"/>
        <v>59811.450000000004</v>
      </c>
      <c r="J872" s="22">
        <f t="shared" si="374"/>
        <v>59665.63</v>
      </c>
      <c r="K872" s="22">
        <f t="shared" si="374"/>
        <v>104414.85250000002</v>
      </c>
      <c r="L872" s="22">
        <f t="shared" si="374"/>
        <v>104414.85250000002</v>
      </c>
      <c r="M872" s="22">
        <f t="shared" si="374"/>
        <v>104414.85250000002</v>
      </c>
      <c r="N872" s="22">
        <f t="shared" si="374"/>
        <v>0</v>
      </c>
      <c r="O872" s="119">
        <f t="shared" si="374"/>
        <v>104414.85250000002</v>
      </c>
      <c r="P872" s="22">
        <f t="shared" ref="P872" si="375">SUM(P869:P871)</f>
        <v>0</v>
      </c>
      <c r="Q872" s="22">
        <f t="shared" si="374"/>
        <v>0</v>
      </c>
      <c r="R872" s="22">
        <f t="shared" si="374"/>
        <v>716820.84000000008</v>
      </c>
      <c r="T872" s="39">
        <f>SUM(T869:T871)</f>
        <v>299161.43000000005</v>
      </c>
      <c r="U872" s="78">
        <f>SUM(U869:U871)</f>
        <v>417659.41000000009</v>
      </c>
      <c r="V872" s="11">
        <f>SUM(T872:U872)-R872</f>
        <v>0</v>
      </c>
    </row>
    <row r="873" spans="1:22" x14ac:dyDescent="0.3">
      <c r="E873" s="15"/>
      <c r="O873" s="118"/>
    </row>
    <row r="874" spans="1:22" ht="15.5" x14ac:dyDescent="0.35">
      <c r="A874" s="33" t="s">
        <v>14</v>
      </c>
      <c r="B874">
        <v>9</v>
      </c>
      <c r="C874" s="1">
        <f>C868+1</f>
        <v>106</v>
      </c>
      <c r="D874" s="34" t="s">
        <v>208</v>
      </c>
      <c r="E874" s="25" t="s">
        <v>411</v>
      </c>
      <c r="O874" s="118"/>
    </row>
    <row r="875" spans="1:22" x14ac:dyDescent="0.3">
      <c r="B875">
        <v>9.1</v>
      </c>
      <c r="E875" s="8" t="s">
        <v>8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f>IF($B$874=12,'payment summary to Trustee'!$AW875,('payment summary to Trustee'!$BD875-'CDE Intercept  '!$T875)/4)</f>
        <v>0</v>
      </c>
      <c r="L875" s="3">
        <f>IF($B$874=12,'payment summary to Trustee'!$AW875,('payment summary to Trustee'!$BD875-'CDE Intercept  '!$T875)/4)</f>
        <v>0</v>
      </c>
      <c r="M875" s="3">
        <f>IF($B$874=12,'payment summary to Trustee'!$AW875,('payment summary to Trustee'!$BD875-'CDE Intercept  '!$T875)/4)</f>
        <v>0</v>
      </c>
      <c r="N875" s="3">
        <v>0</v>
      </c>
      <c r="O875" s="118">
        <f>IF($B$874=12,'payment summary to Trustee'!$AW875,('payment summary to Trustee'!$BD875-'CDE Intercept  '!$T875)/4)</f>
        <v>0</v>
      </c>
      <c r="P875" s="3">
        <v>0</v>
      </c>
      <c r="Q875" s="3">
        <v>0</v>
      </c>
      <c r="R875" s="3">
        <f>SUM(F875:Q875)</f>
        <v>0</v>
      </c>
      <c r="T875" s="3">
        <f>SUM(F875:J875)</f>
        <v>0</v>
      </c>
      <c r="U875" s="93">
        <f>SUM(K875:Q875)</f>
        <v>0</v>
      </c>
      <c r="V875" s="11">
        <f>SUM(T875:U875)-R875</f>
        <v>0</v>
      </c>
    </row>
    <row r="876" spans="1:22" x14ac:dyDescent="0.3">
      <c r="B876">
        <v>9.1999999999999993</v>
      </c>
      <c r="E876" s="8" t="s">
        <v>9</v>
      </c>
      <c r="F876" s="3">
        <v>74.319999999999993</v>
      </c>
      <c r="G876" s="3">
        <v>0</v>
      </c>
      <c r="H876" s="3">
        <v>0</v>
      </c>
      <c r="I876" s="3">
        <v>0</v>
      </c>
      <c r="J876" s="3">
        <v>0</v>
      </c>
      <c r="K876" s="3">
        <f>IF($B$874=12,'payment summary to Trustee'!$AW876,('payment summary to Trustee'!$BD876-'CDE Intercept  '!$T876)/4)</f>
        <v>0</v>
      </c>
      <c r="L876" s="3">
        <f>IF($B$874=12,'payment summary to Trustee'!$AW876,('payment summary to Trustee'!$BD876-'CDE Intercept  '!$T876)/4)</f>
        <v>0</v>
      </c>
      <c r="M876" s="3">
        <f>IF($B$874=12,'payment summary to Trustee'!$AW876,('payment summary to Trustee'!$BD876-'CDE Intercept  '!$T876)/4)</f>
        <v>0</v>
      </c>
      <c r="N876" s="3">
        <v>0</v>
      </c>
      <c r="O876" s="118">
        <f>IF($B$874=12,'payment summary to Trustee'!$AW876,('payment summary to Trustee'!$BD876-'CDE Intercept  '!$T876)/4)</f>
        <v>0</v>
      </c>
      <c r="P876" s="3">
        <v>0</v>
      </c>
      <c r="Q876" s="3">
        <v>0</v>
      </c>
      <c r="R876" s="3">
        <f>SUM(F876:Q876)</f>
        <v>74.319999999999993</v>
      </c>
      <c r="T876" s="3">
        <f t="shared" ref="T876:T877" si="376">SUM(F876:J876)</f>
        <v>74.319999999999993</v>
      </c>
      <c r="U876" s="93">
        <f>SUM(K876:Q876)</f>
        <v>0</v>
      </c>
      <c r="V876" s="11">
        <f>SUM(T876:U876)-R876</f>
        <v>0</v>
      </c>
    </row>
    <row r="877" spans="1:22" ht="13.5" thickBot="1" x14ac:dyDescent="0.35">
      <c r="A877" t="s">
        <v>412</v>
      </c>
      <c r="B877">
        <v>9.3000000000000007</v>
      </c>
      <c r="E877" s="8" t="s">
        <v>10</v>
      </c>
      <c r="F877" s="3">
        <v>19082.650000000001</v>
      </c>
      <c r="G877" s="3">
        <v>19008.32</v>
      </c>
      <c r="H877" s="3">
        <v>19008.32</v>
      </c>
      <c r="I877" s="3">
        <v>19008.32</v>
      </c>
      <c r="J877" s="3">
        <v>19008.32</v>
      </c>
      <c r="K877" s="3">
        <f>IF($B$874=12,'payment summary to Trustee'!$AW877,('payment summary to Trustee'!$BD877-'CDE Intercept  '!$T877)/4)</f>
        <v>33264.565000000017</v>
      </c>
      <c r="L877" s="3">
        <f>IF($B$874=12,'payment summary to Trustee'!$AW877,('payment summary to Trustee'!$BD877-'CDE Intercept  '!$T877)/4)</f>
        <v>33264.565000000017</v>
      </c>
      <c r="M877" s="3">
        <f>IF($B$874=12,'payment summary to Trustee'!$AW877,('payment summary to Trustee'!$BD877-'CDE Intercept  '!$T877)/4)</f>
        <v>33264.565000000017</v>
      </c>
      <c r="N877" s="3">
        <v>0</v>
      </c>
      <c r="O877" s="118">
        <f>IF($B$874=12,'payment summary to Trustee'!$AW877,('payment summary to Trustee'!$BD877-'CDE Intercept  '!$T877)/4)</f>
        <v>33264.565000000017</v>
      </c>
      <c r="P877" s="3">
        <v>0</v>
      </c>
      <c r="Q877" s="3">
        <v>0</v>
      </c>
      <c r="R877" s="3">
        <f>SUM(F877:Q877)</f>
        <v>228174.19000000006</v>
      </c>
      <c r="T877" s="3">
        <f t="shared" si="376"/>
        <v>95115.93</v>
      </c>
      <c r="U877" s="94">
        <f>SUM(K877:Q877)</f>
        <v>133058.26000000007</v>
      </c>
      <c r="V877" s="11">
        <f>SUM(T877:U877)-R877</f>
        <v>0</v>
      </c>
    </row>
    <row r="878" spans="1:22" ht="13.5" thickBot="1" x14ac:dyDescent="0.35">
      <c r="E878" s="13" t="s">
        <v>211</v>
      </c>
      <c r="F878" s="22">
        <f t="shared" ref="F878:R878" si="377">SUM(F875:F877)</f>
        <v>19156.97</v>
      </c>
      <c r="G878" s="22">
        <f t="shared" si="377"/>
        <v>19008.32</v>
      </c>
      <c r="H878" s="22">
        <f t="shared" si="377"/>
        <v>19008.32</v>
      </c>
      <c r="I878" s="22">
        <f t="shared" si="377"/>
        <v>19008.32</v>
      </c>
      <c r="J878" s="22">
        <f t="shared" si="377"/>
        <v>19008.32</v>
      </c>
      <c r="K878" s="22">
        <f t="shared" si="377"/>
        <v>33264.565000000017</v>
      </c>
      <c r="L878" s="22">
        <f t="shared" si="377"/>
        <v>33264.565000000017</v>
      </c>
      <c r="M878" s="22">
        <f t="shared" si="377"/>
        <v>33264.565000000017</v>
      </c>
      <c r="N878" s="22">
        <f t="shared" si="377"/>
        <v>0</v>
      </c>
      <c r="O878" s="119">
        <f t="shared" si="377"/>
        <v>33264.565000000017</v>
      </c>
      <c r="P878" s="22">
        <f t="shared" ref="P878" si="378">SUM(P875:P877)</f>
        <v>0</v>
      </c>
      <c r="Q878" s="22">
        <f t="shared" si="377"/>
        <v>0</v>
      </c>
      <c r="R878" s="22">
        <f t="shared" si="377"/>
        <v>228248.51000000007</v>
      </c>
      <c r="T878" s="39">
        <f>SUM(T875:T877)</f>
        <v>95190.25</v>
      </c>
      <c r="U878" s="78">
        <f>SUM(U875:U877)</f>
        <v>133058.26000000007</v>
      </c>
      <c r="V878" s="11">
        <f>SUM(T878:U878)-R878</f>
        <v>0</v>
      </c>
    </row>
    <row r="879" spans="1:22" x14ac:dyDescent="0.3">
      <c r="E879" s="15"/>
      <c r="O879" s="118"/>
    </row>
    <row r="880" spans="1:22" ht="15.5" x14ac:dyDescent="0.35">
      <c r="A880" s="33" t="s">
        <v>14</v>
      </c>
      <c r="B880">
        <v>9</v>
      </c>
      <c r="C880" s="1">
        <f>C874</f>
        <v>106</v>
      </c>
      <c r="D880" s="34" t="s">
        <v>212</v>
      </c>
      <c r="E880" s="25" t="s">
        <v>413</v>
      </c>
      <c r="O880" s="118"/>
    </row>
    <row r="881" spans="1:22" x14ac:dyDescent="0.3">
      <c r="B881">
        <v>9.1</v>
      </c>
      <c r="E881" s="8" t="s">
        <v>8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f>IF($B$880=12,'payment summary to Trustee'!$AW881,('payment summary to Trustee'!$BD881-'CDE Intercept  '!$T881)/4)</f>
        <v>0</v>
      </c>
      <c r="L881" s="3">
        <f>IF($B$880=12,'payment summary to Trustee'!$AW881,('payment summary to Trustee'!$BD881-'CDE Intercept  '!$T881)/4)</f>
        <v>0</v>
      </c>
      <c r="M881" s="3">
        <f>IF($B$880=12,'payment summary to Trustee'!$AW881,('payment summary to Trustee'!$BD881-'CDE Intercept  '!$T881)/4)</f>
        <v>0</v>
      </c>
      <c r="N881" s="3">
        <v>0</v>
      </c>
      <c r="O881" s="118">
        <f>IF($B$880=12,'payment summary to Trustee'!$AW881,('payment summary to Trustee'!$BD881-'CDE Intercept  '!$T881)/4)</f>
        <v>0</v>
      </c>
      <c r="P881" s="3">
        <v>0</v>
      </c>
      <c r="Q881" s="3">
        <v>0</v>
      </c>
      <c r="R881" s="3">
        <f>SUM(F881:Q881)</f>
        <v>0</v>
      </c>
      <c r="T881" s="3">
        <f>SUM(F881:J881)</f>
        <v>0</v>
      </c>
      <c r="U881" s="93">
        <f>SUM(K881:Q881)</f>
        <v>0</v>
      </c>
      <c r="V881" s="11">
        <f>SUM(T881:U881)-R881</f>
        <v>0</v>
      </c>
    </row>
    <row r="882" spans="1:22" x14ac:dyDescent="0.3">
      <c r="B882">
        <v>9.1999999999999993</v>
      </c>
      <c r="E882" s="8" t="s">
        <v>9</v>
      </c>
      <c r="F882" s="3">
        <v>77.7</v>
      </c>
      <c r="G882" s="3">
        <v>0</v>
      </c>
      <c r="H882" s="3">
        <v>0</v>
      </c>
      <c r="I882" s="3">
        <v>0</v>
      </c>
      <c r="J882" s="3">
        <v>0</v>
      </c>
      <c r="K882" s="3">
        <f>IF($B$880=12,'payment summary to Trustee'!$AW882,('payment summary to Trustee'!$BD882-'CDE Intercept  '!$T882)/4)</f>
        <v>0</v>
      </c>
      <c r="L882" s="3">
        <f>IF($B$880=12,'payment summary to Trustee'!$AW882,('payment summary to Trustee'!$BD882-'CDE Intercept  '!$T882)/4)</f>
        <v>0</v>
      </c>
      <c r="M882" s="3">
        <f>IF($B$880=12,'payment summary to Trustee'!$AW882,('payment summary to Trustee'!$BD882-'CDE Intercept  '!$T882)/4)</f>
        <v>0</v>
      </c>
      <c r="N882" s="3">
        <v>0</v>
      </c>
      <c r="O882" s="118">
        <f>IF($B$880=12,'payment summary to Trustee'!$AW882,('payment summary to Trustee'!$BD882-'CDE Intercept  '!$T882)/4)</f>
        <v>0</v>
      </c>
      <c r="P882" s="3">
        <v>0</v>
      </c>
      <c r="Q882" s="3">
        <v>0</v>
      </c>
      <c r="R882" s="3">
        <f>SUM(F882:Q882)</f>
        <v>77.7</v>
      </c>
      <c r="T882" s="3">
        <f t="shared" ref="T882:T883" si="379">SUM(F882:J882)</f>
        <v>77.7</v>
      </c>
      <c r="U882" s="93">
        <f>SUM(K882:Q882)</f>
        <v>0</v>
      </c>
      <c r="V882" s="11">
        <f>SUM(T882:U882)-R882</f>
        <v>0</v>
      </c>
    </row>
    <row r="883" spans="1:22" ht="13.5" thickBot="1" x14ac:dyDescent="0.35">
      <c r="A883" t="s">
        <v>412</v>
      </c>
      <c r="B883">
        <v>9.3000000000000007</v>
      </c>
      <c r="E883" s="8" t="s">
        <v>10</v>
      </c>
      <c r="F883" s="3">
        <v>19949.16</v>
      </c>
      <c r="G883" s="3">
        <v>19871.46</v>
      </c>
      <c r="H883" s="3">
        <v>19871.46</v>
      </c>
      <c r="I883" s="3">
        <v>19871.46</v>
      </c>
      <c r="J883" s="3">
        <v>19871.46</v>
      </c>
      <c r="K883" s="3">
        <f>IF($B$880=12,'payment summary to Trustee'!$AW883,('payment summary to Trustee'!$BD883-'CDE Intercept  '!$T883)/4)</f>
        <v>34775.067499999997</v>
      </c>
      <c r="L883" s="3">
        <f>IF($B$880=12,'payment summary to Trustee'!$AW883,('payment summary to Trustee'!$BD883-'CDE Intercept  '!$T883)/4)</f>
        <v>34775.067499999997</v>
      </c>
      <c r="M883" s="3">
        <f>IF($B$880=12,'payment summary to Trustee'!$AW883,('payment summary to Trustee'!$BD883-'CDE Intercept  '!$T883)/4)</f>
        <v>34775.067499999997</v>
      </c>
      <c r="N883" s="3">
        <v>0</v>
      </c>
      <c r="O883" s="118">
        <f>IF($B$880=12,'payment summary to Trustee'!$AW883,('payment summary to Trustee'!$BD883-'CDE Intercept  '!$T883)/4)</f>
        <v>34775.067499999997</v>
      </c>
      <c r="P883" s="3">
        <v>0</v>
      </c>
      <c r="Q883" s="3">
        <v>0</v>
      </c>
      <c r="R883" s="3">
        <f>SUM(F883:Q883)</f>
        <v>238535.27000000002</v>
      </c>
      <c r="T883" s="3">
        <f t="shared" si="379"/>
        <v>99435</v>
      </c>
      <c r="U883" s="94">
        <f>SUM(K883:Q883)</f>
        <v>139100.26999999999</v>
      </c>
      <c r="V883" s="11">
        <f>SUM(T883:U883)-R883</f>
        <v>0</v>
      </c>
    </row>
    <row r="884" spans="1:22" ht="13.5" thickBot="1" x14ac:dyDescent="0.35">
      <c r="E884" s="13" t="s">
        <v>214</v>
      </c>
      <c r="F884" s="22">
        <f t="shared" ref="F884:R884" si="380">SUM(F881:F883)</f>
        <v>20026.86</v>
      </c>
      <c r="G884" s="22">
        <f t="shared" si="380"/>
        <v>19871.46</v>
      </c>
      <c r="H884" s="22">
        <f t="shared" si="380"/>
        <v>19871.46</v>
      </c>
      <c r="I884" s="22">
        <f t="shared" si="380"/>
        <v>19871.46</v>
      </c>
      <c r="J884" s="22">
        <f t="shared" si="380"/>
        <v>19871.46</v>
      </c>
      <c r="K884" s="22">
        <f t="shared" si="380"/>
        <v>34775.067499999997</v>
      </c>
      <c r="L884" s="22">
        <f t="shared" si="380"/>
        <v>34775.067499999997</v>
      </c>
      <c r="M884" s="22">
        <f t="shared" si="380"/>
        <v>34775.067499999997</v>
      </c>
      <c r="N884" s="22">
        <f t="shared" si="380"/>
        <v>0</v>
      </c>
      <c r="O884" s="119">
        <f t="shared" si="380"/>
        <v>34775.067499999997</v>
      </c>
      <c r="P884" s="22">
        <f t="shared" ref="P884" si="381">SUM(P881:P883)</f>
        <v>0</v>
      </c>
      <c r="Q884" s="22">
        <f t="shared" si="380"/>
        <v>0</v>
      </c>
      <c r="R884" s="22">
        <f t="shared" si="380"/>
        <v>238612.97000000003</v>
      </c>
      <c r="T884" s="39">
        <f>SUM(T881:T883)</f>
        <v>99512.7</v>
      </c>
      <c r="U884" s="78">
        <f>SUM(U881:U883)</f>
        <v>139100.26999999999</v>
      </c>
      <c r="V884" s="11">
        <f>SUM(T884:U884)-R884</f>
        <v>0</v>
      </c>
    </row>
    <row r="885" spans="1:22" x14ac:dyDescent="0.3">
      <c r="E885" s="15"/>
      <c r="O885" s="118"/>
    </row>
    <row r="886" spans="1:22" ht="15.5" x14ac:dyDescent="0.35">
      <c r="A886" s="33" t="s">
        <v>14</v>
      </c>
      <c r="B886">
        <v>9</v>
      </c>
      <c r="C886" s="1">
        <f>C874</f>
        <v>106</v>
      </c>
      <c r="D886" s="34" t="s">
        <v>215</v>
      </c>
      <c r="E886" s="25" t="s">
        <v>414</v>
      </c>
      <c r="O886" s="118"/>
    </row>
    <row r="887" spans="1:22" x14ac:dyDescent="0.3">
      <c r="B887">
        <v>9.1</v>
      </c>
      <c r="E887" s="8" t="s">
        <v>8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f>IF($B$886=12,'payment summary to Trustee'!$AW887,('payment summary to Trustee'!$BD887-'CDE Intercept  '!$T887)/4)</f>
        <v>0</v>
      </c>
      <c r="L887" s="3">
        <f>IF($B$886=12,'payment summary to Trustee'!$AW887,('payment summary to Trustee'!$BD887-'CDE Intercept  '!$T887)/4)</f>
        <v>0</v>
      </c>
      <c r="M887" s="3">
        <f>IF($B$886=12,'payment summary to Trustee'!$AW887,('payment summary to Trustee'!$BD887-'CDE Intercept  '!$T887)/4)</f>
        <v>0</v>
      </c>
      <c r="N887" s="3">
        <v>0</v>
      </c>
      <c r="O887" s="118">
        <f>IF($B$886=12,'payment summary to Trustee'!$AW887,('payment summary to Trustee'!$BD887-'CDE Intercept  '!$T887)/4)</f>
        <v>0</v>
      </c>
      <c r="P887" s="3">
        <v>0</v>
      </c>
      <c r="Q887" s="3">
        <v>0</v>
      </c>
      <c r="R887" s="3">
        <f>SUM(F887:Q887)</f>
        <v>0</v>
      </c>
      <c r="T887" s="3">
        <f>SUM(F887:J887)</f>
        <v>0</v>
      </c>
      <c r="U887" s="93">
        <f>SUM(K887:Q887)</f>
        <v>0</v>
      </c>
      <c r="V887" s="11">
        <f>SUM(T887:U887)-R887</f>
        <v>0</v>
      </c>
    </row>
    <row r="888" spans="1:22" x14ac:dyDescent="0.3">
      <c r="B888">
        <v>9.1999999999999993</v>
      </c>
      <c r="E888" s="8" t="s">
        <v>9</v>
      </c>
      <c r="F888" s="3">
        <v>97.98</v>
      </c>
      <c r="G888" s="3">
        <v>0</v>
      </c>
      <c r="H888" s="3">
        <v>0</v>
      </c>
      <c r="I888" s="3">
        <v>0</v>
      </c>
      <c r="J888" s="3">
        <v>0</v>
      </c>
      <c r="K888" s="3">
        <f>IF($B$886=12,'payment summary to Trustee'!$AW888,('payment summary to Trustee'!$BD888-'CDE Intercept  '!$T888)/4)</f>
        <v>0</v>
      </c>
      <c r="L888" s="3">
        <f>IF($B$886=12,'payment summary to Trustee'!$AW888,('payment summary to Trustee'!$BD888-'CDE Intercept  '!$T888)/4)</f>
        <v>0</v>
      </c>
      <c r="M888" s="3">
        <f>IF($B$886=12,'payment summary to Trustee'!$AW888,('payment summary to Trustee'!$BD888-'CDE Intercept  '!$T888)/4)</f>
        <v>0</v>
      </c>
      <c r="N888" s="3">
        <v>0</v>
      </c>
      <c r="O888" s="118">
        <f>IF($B$886=12,'payment summary to Trustee'!$AW888,('payment summary to Trustee'!$BD888-'CDE Intercept  '!$T888)/4)</f>
        <v>0</v>
      </c>
      <c r="P888" s="3">
        <v>0</v>
      </c>
      <c r="Q888" s="3">
        <v>0</v>
      </c>
      <c r="R888" s="3">
        <f>SUM(F888:Q888)</f>
        <v>97.98</v>
      </c>
      <c r="T888" s="3">
        <f t="shared" ref="T888:T889" si="382">SUM(F888:J888)</f>
        <v>97.98</v>
      </c>
      <c r="U888" s="93">
        <f>SUM(K888:Q888)</f>
        <v>0</v>
      </c>
      <c r="V888" s="11">
        <f>SUM(T888:U888)-R888</f>
        <v>0</v>
      </c>
    </row>
    <row r="889" spans="1:22" ht="13.5" thickBot="1" x14ac:dyDescent="0.35">
      <c r="A889" t="s">
        <v>415</v>
      </c>
      <c r="B889">
        <v>9.3000000000000007</v>
      </c>
      <c r="E889" s="8" t="s">
        <v>10</v>
      </c>
      <c r="F889" s="3">
        <v>25154.69</v>
      </c>
      <c r="G889" s="3">
        <v>25056.720000000001</v>
      </c>
      <c r="H889" s="3">
        <v>25056.720000000001</v>
      </c>
      <c r="I889" s="3">
        <v>25056.720000000001</v>
      </c>
      <c r="J889" s="3">
        <v>25056.720000000001</v>
      </c>
      <c r="K889" s="3">
        <f>IF($B$886=12,'payment summary to Trustee'!$AW889,('payment summary to Trustee'!$BD889-'CDE Intercept  '!$T889)/4)</f>
        <v>43849.242499999993</v>
      </c>
      <c r="L889" s="3">
        <f>IF($B$886=12,'payment summary to Trustee'!$AW889,('payment summary to Trustee'!$BD889-'CDE Intercept  '!$T889)/4)</f>
        <v>43849.242499999993</v>
      </c>
      <c r="M889" s="3">
        <f>IF($B$886=12,'payment summary to Trustee'!$AW889,('payment summary to Trustee'!$BD889-'CDE Intercept  '!$T889)/4)</f>
        <v>43849.242499999993</v>
      </c>
      <c r="N889" s="3">
        <v>0</v>
      </c>
      <c r="O889" s="118">
        <f>IF($B$886=12,'payment summary to Trustee'!$AW889,('payment summary to Trustee'!$BD889-'CDE Intercept  '!$T889)/4)</f>
        <v>43849.242499999993</v>
      </c>
      <c r="P889" s="3">
        <v>0</v>
      </c>
      <c r="Q889" s="3">
        <v>0</v>
      </c>
      <c r="R889" s="3">
        <f>SUM(F889:Q889)</f>
        <v>300778.53999999998</v>
      </c>
      <c r="T889" s="3">
        <f t="shared" si="382"/>
        <v>125381.57</v>
      </c>
      <c r="U889" s="94">
        <f>SUM(K889:Q889)</f>
        <v>175396.96999999997</v>
      </c>
      <c r="V889" s="11">
        <f>SUM(T889:U889)-R889</f>
        <v>0</v>
      </c>
    </row>
    <row r="890" spans="1:22" ht="13.5" thickBot="1" x14ac:dyDescent="0.35">
      <c r="E890" s="13" t="s">
        <v>217</v>
      </c>
      <c r="F890" s="22">
        <f t="shared" ref="F890:R890" si="383">SUM(F887:F889)</f>
        <v>25252.67</v>
      </c>
      <c r="G890" s="22">
        <f t="shared" si="383"/>
        <v>25056.720000000001</v>
      </c>
      <c r="H890" s="22">
        <f t="shared" si="383"/>
        <v>25056.720000000001</v>
      </c>
      <c r="I890" s="22">
        <f t="shared" si="383"/>
        <v>25056.720000000001</v>
      </c>
      <c r="J890" s="22">
        <f t="shared" si="383"/>
        <v>25056.720000000001</v>
      </c>
      <c r="K890" s="22">
        <f t="shared" si="383"/>
        <v>43849.242499999993</v>
      </c>
      <c r="L890" s="22">
        <f t="shared" si="383"/>
        <v>43849.242499999993</v>
      </c>
      <c r="M890" s="22">
        <f t="shared" si="383"/>
        <v>43849.242499999993</v>
      </c>
      <c r="N890" s="22">
        <f t="shared" si="383"/>
        <v>0</v>
      </c>
      <c r="O890" s="119">
        <f t="shared" si="383"/>
        <v>43849.242499999993</v>
      </c>
      <c r="P890" s="22">
        <f t="shared" ref="P890" si="384">SUM(P887:P889)</f>
        <v>0</v>
      </c>
      <c r="Q890" s="22">
        <f t="shared" si="383"/>
        <v>0</v>
      </c>
      <c r="R890" s="22">
        <f t="shared" si="383"/>
        <v>300876.51999999996</v>
      </c>
      <c r="T890" s="39">
        <f>SUM(T887:T889)</f>
        <v>125479.55</v>
      </c>
      <c r="U890" s="78">
        <f>SUM(U887:U889)</f>
        <v>175396.96999999997</v>
      </c>
      <c r="V890" s="11">
        <f>SUM(T890:U890)-R890</f>
        <v>0</v>
      </c>
    </row>
    <row r="891" spans="1:22" x14ac:dyDescent="0.3">
      <c r="E891" s="15"/>
      <c r="O891" s="118"/>
    </row>
    <row r="892" spans="1:22" ht="15.5" x14ac:dyDescent="0.35">
      <c r="A892" s="97" t="s">
        <v>929</v>
      </c>
      <c r="B892" s="103">
        <v>9</v>
      </c>
      <c r="C892" s="1">
        <f>C874+1</f>
        <v>107</v>
      </c>
      <c r="D892" s="34" t="s">
        <v>14</v>
      </c>
      <c r="E892" s="104" t="s">
        <v>416</v>
      </c>
      <c r="O892" s="118"/>
    </row>
    <row r="893" spans="1:22" x14ac:dyDescent="0.3">
      <c r="A893" s="97" t="s">
        <v>930</v>
      </c>
      <c r="B893" s="103">
        <v>9.1</v>
      </c>
      <c r="E893" s="8" t="s">
        <v>8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118">
        <v>0</v>
      </c>
      <c r="P893" s="3">
        <v>0</v>
      </c>
      <c r="Q893" s="3">
        <v>0</v>
      </c>
      <c r="R893" s="3">
        <f>SUM(F893:Q893)</f>
        <v>0</v>
      </c>
      <c r="T893" s="3">
        <f>SUM(F893:J893)</f>
        <v>0</v>
      </c>
      <c r="U893" s="93">
        <f>SUM(K893:Q893)</f>
        <v>0</v>
      </c>
      <c r="V893" s="11">
        <f>SUM(T893:U893)-R893</f>
        <v>0</v>
      </c>
    </row>
    <row r="894" spans="1:22" x14ac:dyDescent="0.3">
      <c r="B894" s="103">
        <v>9.1999999999999993</v>
      </c>
      <c r="E894" s="8" t="s">
        <v>9</v>
      </c>
      <c r="F894" s="3">
        <v>250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118">
        <v>0</v>
      </c>
      <c r="P894" s="3">
        <v>0</v>
      </c>
      <c r="Q894" s="3">
        <v>0</v>
      </c>
      <c r="R894" s="3">
        <f>SUM(F894:Q894)</f>
        <v>250</v>
      </c>
      <c r="T894" s="3">
        <f t="shared" ref="T894:T895" si="385">SUM(F894:J894)</f>
        <v>250</v>
      </c>
      <c r="U894" s="93">
        <f>SUM(K894:Q894)</f>
        <v>0</v>
      </c>
      <c r="V894" s="11">
        <f>SUM(T894:U894)-R894</f>
        <v>0</v>
      </c>
    </row>
    <row r="895" spans="1:22" ht="13.5" thickBot="1" x14ac:dyDescent="0.35">
      <c r="A895" t="s">
        <v>417</v>
      </c>
      <c r="B895" s="103">
        <v>9.3000000000000007</v>
      </c>
      <c r="E895" s="8" t="s">
        <v>10</v>
      </c>
      <c r="F895" s="3">
        <v>21313</v>
      </c>
      <c r="G895" s="3">
        <v>21313</v>
      </c>
      <c r="H895" s="3">
        <v>21313</v>
      </c>
      <c r="I895" s="3">
        <v>21313</v>
      </c>
      <c r="J895" s="3">
        <v>21313</v>
      </c>
      <c r="K895" s="3">
        <v>21313</v>
      </c>
      <c r="L895" s="3">
        <v>21313</v>
      </c>
      <c r="M895" s="3">
        <v>21313</v>
      </c>
      <c r="N895" s="3">
        <v>0</v>
      </c>
      <c r="O895" s="118">
        <f>21313+21313+21313+21313</f>
        <v>85252</v>
      </c>
      <c r="P895" s="3">
        <v>0</v>
      </c>
      <c r="Q895" s="3">
        <v>0</v>
      </c>
      <c r="R895" s="3">
        <f>SUM(F895:Q895)</f>
        <v>255756</v>
      </c>
      <c r="T895" s="3">
        <f t="shared" si="385"/>
        <v>106565</v>
      </c>
      <c r="U895" s="94">
        <f>SUM(K895:Q895)</f>
        <v>149191</v>
      </c>
      <c r="V895" s="11">
        <f>SUM(T895:U895)-R895</f>
        <v>0</v>
      </c>
    </row>
    <row r="896" spans="1:22" ht="13.5" thickBot="1" x14ac:dyDescent="0.35">
      <c r="E896" s="13" t="s">
        <v>220</v>
      </c>
      <c r="F896" s="22">
        <f t="shared" ref="F896:R896" si="386">SUM(F893:F895)</f>
        <v>21563</v>
      </c>
      <c r="G896" s="22">
        <f t="shared" si="386"/>
        <v>21313</v>
      </c>
      <c r="H896" s="22">
        <f t="shared" si="386"/>
        <v>21313</v>
      </c>
      <c r="I896" s="22">
        <f t="shared" si="386"/>
        <v>21313</v>
      </c>
      <c r="J896" s="22">
        <f t="shared" si="386"/>
        <v>21313</v>
      </c>
      <c r="K896" s="22">
        <f t="shared" si="386"/>
        <v>21313</v>
      </c>
      <c r="L896" s="22">
        <f t="shared" si="386"/>
        <v>21313</v>
      </c>
      <c r="M896" s="22">
        <f t="shared" si="386"/>
        <v>21313</v>
      </c>
      <c r="N896" s="22">
        <f t="shared" si="386"/>
        <v>0</v>
      </c>
      <c r="O896" s="119">
        <f t="shared" si="386"/>
        <v>85252</v>
      </c>
      <c r="P896" s="22">
        <f t="shared" si="386"/>
        <v>0</v>
      </c>
      <c r="Q896" s="22">
        <f t="shared" si="386"/>
        <v>0</v>
      </c>
      <c r="R896" s="22">
        <f t="shared" si="386"/>
        <v>256006</v>
      </c>
      <c r="T896" s="39">
        <f>SUM(T893:T895)</f>
        <v>106815</v>
      </c>
      <c r="U896" s="78">
        <f>SUM(U893:U895)</f>
        <v>149191</v>
      </c>
      <c r="V896" s="11">
        <f>SUM(T896:U896)-R896</f>
        <v>0</v>
      </c>
    </row>
    <row r="897" spans="1:22" x14ac:dyDescent="0.3">
      <c r="E897" s="15"/>
      <c r="O897" s="118"/>
    </row>
    <row r="898" spans="1:22" ht="15.5" x14ac:dyDescent="0.35">
      <c r="B898">
        <v>9</v>
      </c>
      <c r="C898" s="20">
        <f>C892+1</f>
        <v>108</v>
      </c>
      <c r="D898" s="1" t="s">
        <v>14</v>
      </c>
      <c r="E898" s="25" t="s">
        <v>418</v>
      </c>
      <c r="O898" s="118"/>
    </row>
    <row r="899" spans="1:22" x14ac:dyDescent="0.3">
      <c r="B899">
        <v>9.1</v>
      </c>
      <c r="E899" s="8" t="s">
        <v>8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f>IF($B$898=12,'payment summary to Trustee'!$AW899,('payment summary to Trustee'!$BD899-'CDE Intercept  '!$T899)/4)</f>
        <v>0</v>
      </c>
      <c r="L899" s="3">
        <f>IF($B$898=12,'payment summary to Trustee'!$AW899,('payment summary to Trustee'!$BD899-'CDE Intercept  '!$T899)/4)</f>
        <v>0</v>
      </c>
      <c r="M899" s="3">
        <f>IF($B$898=12,'payment summary to Trustee'!$AW899,('payment summary to Trustee'!$BD899-'CDE Intercept  '!$T899)/4)</f>
        <v>0</v>
      </c>
      <c r="N899" s="3">
        <v>0</v>
      </c>
      <c r="O899" s="118">
        <f>IF($B$898=12,'payment summary to Trustee'!$AW899,('payment summary to Trustee'!$BD899-'CDE Intercept  '!$T899)/4)</f>
        <v>0</v>
      </c>
      <c r="P899" s="3">
        <v>0</v>
      </c>
      <c r="Q899" s="3">
        <v>0</v>
      </c>
      <c r="R899" s="3">
        <f>SUM(F899:Q899)</f>
        <v>0</v>
      </c>
      <c r="T899" s="3">
        <f>SUM(F899:J899)</f>
        <v>0</v>
      </c>
      <c r="U899" s="93">
        <f>SUM(K899:Q899)</f>
        <v>0</v>
      </c>
      <c r="V899" s="11">
        <f>SUM(T899:U899)-R899</f>
        <v>0</v>
      </c>
    </row>
    <row r="900" spans="1:22" x14ac:dyDescent="0.3">
      <c r="B900">
        <v>9.1999999999999993</v>
      </c>
      <c r="E900" s="8" t="s">
        <v>9</v>
      </c>
      <c r="F900" s="3">
        <v>250</v>
      </c>
      <c r="G900" s="3">
        <v>0</v>
      </c>
      <c r="H900" s="3">
        <v>0</v>
      </c>
      <c r="I900" s="3">
        <v>0</v>
      </c>
      <c r="J900" s="3">
        <v>0</v>
      </c>
      <c r="K900" s="3">
        <f>IF($B$898=12,'payment summary to Trustee'!$AW900,('payment summary to Trustee'!$BD900-'CDE Intercept  '!$T900)/4)</f>
        <v>0</v>
      </c>
      <c r="L900" s="3">
        <f>IF($B$898=12,'payment summary to Trustee'!$AW900,('payment summary to Trustee'!$BD900-'CDE Intercept  '!$T900)/4)</f>
        <v>0</v>
      </c>
      <c r="M900" s="3">
        <f>IF($B$898=12,'payment summary to Trustee'!$AW900,('payment summary to Trustee'!$BD900-'CDE Intercept  '!$T900)/4)</f>
        <v>0</v>
      </c>
      <c r="N900" s="3">
        <v>0</v>
      </c>
      <c r="O900" s="118">
        <f>IF($B$898=12,'payment summary to Trustee'!$AW900,('payment summary to Trustee'!$BD900-'CDE Intercept  '!$T900)/4)</f>
        <v>0</v>
      </c>
      <c r="P900" s="3">
        <v>0</v>
      </c>
      <c r="Q900" s="3">
        <v>0</v>
      </c>
      <c r="R900" s="3">
        <f>SUM(F900:Q900)</f>
        <v>250</v>
      </c>
      <c r="T900" s="3">
        <f t="shared" ref="T900:T901" si="387">SUM(F900:J900)</f>
        <v>250</v>
      </c>
      <c r="U900" s="93">
        <f>SUM(K900:Q900)</f>
        <v>0</v>
      </c>
      <c r="V900" s="11">
        <f>SUM(T900:U900)-R900</f>
        <v>0</v>
      </c>
    </row>
    <row r="901" spans="1:22" ht="13.5" thickBot="1" x14ac:dyDescent="0.35">
      <c r="A901" t="s">
        <v>419</v>
      </c>
      <c r="B901">
        <v>9.3000000000000007</v>
      </c>
      <c r="E901" s="8" t="s">
        <v>10</v>
      </c>
      <c r="F901" s="3">
        <v>21313</v>
      </c>
      <c r="G901" s="3">
        <v>21313</v>
      </c>
      <c r="H901" s="3">
        <v>21313</v>
      </c>
      <c r="I901" s="3">
        <v>21313</v>
      </c>
      <c r="J901" s="3">
        <v>21313</v>
      </c>
      <c r="K901" s="3">
        <f>IF($B$898=12,'payment summary to Trustee'!$AW901,('payment summary to Trustee'!$BD901-'CDE Intercept  '!$T901)/4)</f>
        <v>37297.75</v>
      </c>
      <c r="L901" s="3">
        <f>IF($B$898=12,'payment summary to Trustee'!$AW901,('payment summary to Trustee'!$BD901-'CDE Intercept  '!$T901)/4)</f>
        <v>37297.75</v>
      </c>
      <c r="M901" s="3">
        <f>IF($B$898=12,'payment summary to Trustee'!$AW901,('payment summary to Trustee'!$BD901-'CDE Intercept  '!$T901)/4)</f>
        <v>37297.75</v>
      </c>
      <c r="N901" s="3">
        <v>0</v>
      </c>
      <c r="O901" s="118">
        <f>IF($B$898=12,'payment summary to Trustee'!$AW901,('payment summary to Trustee'!$BD901-'CDE Intercept  '!$T901)/4)</f>
        <v>37297.75</v>
      </c>
      <c r="P901" s="3">
        <v>0</v>
      </c>
      <c r="Q901" s="3">
        <v>0</v>
      </c>
      <c r="R901" s="3">
        <f>SUM(F901:Q901)</f>
        <v>255756</v>
      </c>
      <c r="T901" s="3">
        <f t="shared" si="387"/>
        <v>106565</v>
      </c>
      <c r="U901" s="94">
        <f>SUM(K901:Q901)</f>
        <v>149191</v>
      </c>
      <c r="V901" s="11">
        <f>SUM(T901:U901)-R901</f>
        <v>0</v>
      </c>
    </row>
    <row r="902" spans="1:22" ht="13.5" thickBot="1" x14ac:dyDescent="0.35">
      <c r="E902" s="13" t="s">
        <v>223</v>
      </c>
      <c r="F902" s="22">
        <f t="shared" ref="F902:R902" si="388">SUM(F899:F901)</f>
        <v>21563</v>
      </c>
      <c r="G902" s="22">
        <f t="shared" si="388"/>
        <v>21313</v>
      </c>
      <c r="H902" s="22">
        <f t="shared" si="388"/>
        <v>21313</v>
      </c>
      <c r="I902" s="22">
        <f t="shared" si="388"/>
        <v>21313</v>
      </c>
      <c r="J902" s="22">
        <f t="shared" si="388"/>
        <v>21313</v>
      </c>
      <c r="K902" s="22">
        <f t="shared" si="388"/>
        <v>37297.75</v>
      </c>
      <c r="L902" s="22">
        <f t="shared" si="388"/>
        <v>37297.75</v>
      </c>
      <c r="M902" s="22">
        <f t="shared" si="388"/>
        <v>37297.75</v>
      </c>
      <c r="N902" s="22">
        <f t="shared" si="388"/>
        <v>0</v>
      </c>
      <c r="O902" s="119">
        <f t="shared" si="388"/>
        <v>37297.75</v>
      </c>
      <c r="P902" s="22">
        <f t="shared" ref="P902" si="389">SUM(P899:P901)</f>
        <v>0</v>
      </c>
      <c r="Q902" s="22">
        <f t="shared" si="388"/>
        <v>0</v>
      </c>
      <c r="R902" s="22">
        <f t="shared" si="388"/>
        <v>256006</v>
      </c>
      <c r="T902" s="39">
        <f>SUM(T899:T901)</f>
        <v>106815</v>
      </c>
      <c r="U902" s="78">
        <f>SUM(U899:U901)</f>
        <v>149191</v>
      </c>
      <c r="V902" s="11">
        <f>SUM(T902:U902)-R902</f>
        <v>0</v>
      </c>
    </row>
    <row r="903" spans="1:22" x14ac:dyDescent="0.3">
      <c r="E903" s="15"/>
      <c r="O903" s="118"/>
    </row>
    <row r="904" spans="1:22" ht="15.5" x14ac:dyDescent="0.35">
      <c r="B904">
        <v>9</v>
      </c>
      <c r="C904" s="20">
        <f>C898+1</f>
        <v>109</v>
      </c>
      <c r="D904" s="1" t="s">
        <v>14</v>
      </c>
      <c r="E904" s="25" t="s">
        <v>420</v>
      </c>
      <c r="O904" s="118"/>
    </row>
    <row r="905" spans="1:22" x14ac:dyDescent="0.3">
      <c r="B905">
        <v>9.1</v>
      </c>
      <c r="E905" s="8" t="s">
        <v>8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f>IF($B$904=12,'payment summary to Trustee'!$AW905,('payment summary to Trustee'!$BD905-'CDE Intercept  '!$T905)/4)</f>
        <v>0</v>
      </c>
      <c r="L905" s="3">
        <f>IF($B$904=12,'payment summary to Trustee'!$AW905,('payment summary to Trustee'!$BD905-'CDE Intercept  '!$T905)/4)</f>
        <v>0</v>
      </c>
      <c r="M905" s="3">
        <f>IF($B$904=12,'payment summary to Trustee'!$AW905,('payment summary to Trustee'!$BD905-'CDE Intercept  '!$T905)/4)</f>
        <v>0</v>
      </c>
      <c r="N905" s="3">
        <v>0</v>
      </c>
      <c r="O905" s="118">
        <f>IF($B$904=12,'payment summary to Trustee'!$AW905,('payment summary to Trustee'!$BD905-'CDE Intercept  '!$T905)/4)</f>
        <v>0</v>
      </c>
      <c r="P905" s="3">
        <v>0</v>
      </c>
      <c r="Q905" s="3">
        <v>0</v>
      </c>
      <c r="R905" s="3">
        <f>SUM(F905:Q905)</f>
        <v>0</v>
      </c>
      <c r="T905" s="3">
        <f>SUM(F905:J905)</f>
        <v>0</v>
      </c>
      <c r="U905" s="93">
        <f>SUM(K905:Q905)</f>
        <v>0</v>
      </c>
      <c r="V905" s="11">
        <f>SUM(T905:U905)-R905</f>
        <v>0</v>
      </c>
    </row>
    <row r="906" spans="1:22" x14ac:dyDescent="0.3">
      <c r="B906">
        <v>9.1999999999999993</v>
      </c>
      <c r="E906" s="8" t="s">
        <v>9</v>
      </c>
      <c r="F906" s="3">
        <v>250</v>
      </c>
      <c r="G906" s="3">
        <v>0</v>
      </c>
      <c r="H906" s="3">
        <v>0</v>
      </c>
      <c r="I906" s="3">
        <v>0</v>
      </c>
      <c r="J906" s="3">
        <v>0</v>
      </c>
      <c r="K906" s="3">
        <f>IF($B$904=12,'payment summary to Trustee'!$AW906,('payment summary to Trustee'!$BD906-'CDE Intercept  '!$T906)/4)</f>
        <v>0</v>
      </c>
      <c r="L906" s="3">
        <f>IF($B$904=12,'payment summary to Trustee'!$AW906,('payment summary to Trustee'!$BD906-'CDE Intercept  '!$T906)/4)</f>
        <v>0</v>
      </c>
      <c r="M906" s="3">
        <f>IF($B$904=12,'payment summary to Trustee'!$AW906,('payment summary to Trustee'!$BD906-'CDE Intercept  '!$T906)/4)</f>
        <v>0</v>
      </c>
      <c r="N906" s="3">
        <v>0</v>
      </c>
      <c r="O906" s="118">
        <f>IF($B$904=12,'payment summary to Trustee'!$AW906,('payment summary to Trustee'!$BD906-'CDE Intercept  '!$T906)/4)</f>
        <v>0</v>
      </c>
      <c r="P906" s="3">
        <v>0</v>
      </c>
      <c r="Q906" s="3">
        <v>0</v>
      </c>
      <c r="R906" s="3">
        <f>SUM(F906:Q906)</f>
        <v>250</v>
      </c>
      <c r="T906" s="3">
        <f t="shared" ref="T906:T907" si="390">SUM(F906:J906)</f>
        <v>250</v>
      </c>
      <c r="U906" s="93">
        <f>SUM(K906:Q906)</f>
        <v>0</v>
      </c>
      <c r="V906" s="11">
        <f>SUM(T906:U906)-R906</f>
        <v>0</v>
      </c>
    </row>
    <row r="907" spans="1:22" ht="13.5" thickBot="1" x14ac:dyDescent="0.35">
      <c r="A907" t="s">
        <v>421</v>
      </c>
      <c r="B907">
        <v>9.3000000000000007</v>
      </c>
      <c r="E907" s="8" t="s">
        <v>10</v>
      </c>
      <c r="F907" s="3">
        <f>7916.67+57238.54</f>
        <v>65155.21</v>
      </c>
      <c r="G907" s="3">
        <f>7916.67+57238.54</f>
        <v>65155.21</v>
      </c>
      <c r="H907" s="3">
        <f t="shared" ref="H907:J907" si="391">7916.67+57238.54</f>
        <v>65155.21</v>
      </c>
      <c r="I907" s="3">
        <f t="shared" si="391"/>
        <v>65155.21</v>
      </c>
      <c r="J907" s="3">
        <f t="shared" si="391"/>
        <v>65155.21</v>
      </c>
      <c r="K907" s="3">
        <f>IF($B$904=12,'payment summary to Trustee'!$AW907,('payment summary to Trustee'!$BD907-'CDE Intercept  '!$T907)/4)</f>
        <v>113990.20999999998</v>
      </c>
      <c r="L907" s="3">
        <f>IF($B$904=12,'payment summary to Trustee'!$AW907,('payment summary to Trustee'!$BD907-'CDE Intercept  '!$T907)/4)</f>
        <v>113990.20999999998</v>
      </c>
      <c r="M907" s="3">
        <f>IF($B$904=12,'payment summary to Trustee'!$AW907,('payment summary to Trustee'!$BD907-'CDE Intercept  '!$T907)/4)</f>
        <v>113990.20999999998</v>
      </c>
      <c r="N907" s="3">
        <v>0</v>
      </c>
      <c r="O907" s="118">
        <f>IF($B$904=12,'payment summary to Trustee'!$AW907,('payment summary to Trustee'!$BD907-'CDE Intercept  '!$T907)/4)</f>
        <v>113990.20999999998</v>
      </c>
      <c r="P907" s="3">
        <v>0</v>
      </c>
      <c r="Q907" s="3">
        <v>0</v>
      </c>
      <c r="R907" s="3">
        <f>SUM(F907:Q907)</f>
        <v>781736.8899999999</v>
      </c>
      <c r="T907" s="3">
        <f t="shared" si="390"/>
        <v>325776.05</v>
      </c>
      <c r="U907" s="94">
        <f>SUM(K907:Q907)</f>
        <v>455960.83999999991</v>
      </c>
      <c r="V907" s="11">
        <f>SUM(T907:U907)-R907</f>
        <v>0</v>
      </c>
    </row>
    <row r="908" spans="1:22" ht="13.5" thickBot="1" x14ac:dyDescent="0.35">
      <c r="E908" s="13" t="s">
        <v>422</v>
      </c>
      <c r="F908" s="22">
        <f t="shared" ref="F908:R908" si="392">SUM(F905:F907)</f>
        <v>65405.21</v>
      </c>
      <c r="G908" s="22">
        <f t="shared" si="392"/>
        <v>65155.21</v>
      </c>
      <c r="H908" s="22">
        <f t="shared" si="392"/>
        <v>65155.21</v>
      </c>
      <c r="I908" s="22">
        <f t="shared" si="392"/>
        <v>65155.21</v>
      </c>
      <c r="J908" s="22">
        <f t="shared" si="392"/>
        <v>65155.21</v>
      </c>
      <c r="K908" s="22">
        <f t="shared" si="392"/>
        <v>113990.20999999998</v>
      </c>
      <c r="L908" s="22">
        <f t="shared" si="392"/>
        <v>113990.20999999998</v>
      </c>
      <c r="M908" s="22">
        <f t="shared" si="392"/>
        <v>113990.20999999998</v>
      </c>
      <c r="N908" s="22">
        <f t="shared" si="392"/>
        <v>0</v>
      </c>
      <c r="O908" s="119">
        <f t="shared" si="392"/>
        <v>113990.20999999998</v>
      </c>
      <c r="P908" s="22">
        <f t="shared" ref="P908" si="393">SUM(P905:P907)</f>
        <v>0</v>
      </c>
      <c r="Q908" s="22">
        <f t="shared" si="392"/>
        <v>0</v>
      </c>
      <c r="R908" s="22">
        <f t="shared" si="392"/>
        <v>781986.8899999999</v>
      </c>
      <c r="T908" s="39">
        <f>SUM(T905:T907)</f>
        <v>326026.05</v>
      </c>
      <c r="U908" s="78">
        <f>SUM(U905:U907)</f>
        <v>455960.83999999991</v>
      </c>
      <c r="V908" s="11">
        <f>SUM(T908:U908)-R908</f>
        <v>0</v>
      </c>
    </row>
    <row r="909" spans="1:22" x14ac:dyDescent="0.3">
      <c r="E909" s="15"/>
      <c r="O909" s="118"/>
    </row>
    <row r="910" spans="1:22" ht="15.5" x14ac:dyDescent="0.35">
      <c r="B910">
        <v>9</v>
      </c>
      <c r="C910" s="20">
        <f>C904+1</f>
        <v>110</v>
      </c>
      <c r="D910" s="1" t="s">
        <v>14</v>
      </c>
      <c r="E910" s="25" t="s">
        <v>423</v>
      </c>
      <c r="O910" s="118"/>
    </row>
    <row r="911" spans="1:22" x14ac:dyDescent="0.3">
      <c r="B911">
        <v>9.1</v>
      </c>
      <c r="E911" s="8" t="s">
        <v>8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f>IF($B$910=12,'payment summary to Trustee'!$AW911,('payment summary to Trustee'!$BD911-'CDE Intercept  '!$T911)/4)</f>
        <v>0</v>
      </c>
      <c r="L911" s="3">
        <f>IF($B$910=12,'payment summary to Trustee'!$AW911,('payment summary to Trustee'!$BD911-'CDE Intercept  '!$T911)/4)</f>
        <v>0</v>
      </c>
      <c r="M911" s="3">
        <f>IF($B$910=12,'payment summary to Trustee'!$AW911,('payment summary to Trustee'!$BD911-'CDE Intercept  '!$T911)/4)</f>
        <v>0</v>
      </c>
      <c r="N911" s="3">
        <v>0</v>
      </c>
      <c r="O911" s="118">
        <f>IF($B$910=12,'payment summary to Trustee'!$AW911,('payment summary to Trustee'!$BD911-'CDE Intercept  '!$T911)/4)</f>
        <v>0</v>
      </c>
      <c r="P911" s="3">
        <v>0</v>
      </c>
      <c r="Q911" s="3">
        <v>0</v>
      </c>
      <c r="R911" s="3">
        <f>SUM(F911:Q911)</f>
        <v>0</v>
      </c>
      <c r="T911" s="3">
        <f>SUM(F911:J911)</f>
        <v>0</v>
      </c>
      <c r="U911" s="93">
        <f>SUM(K911:Q911)</f>
        <v>0</v>
      </c>
      <c r="V911" s="11">
        <f>SUM(T911:U911)-R911</f>
        <v>0</v>
      </c>
    </row>
    <row r="912" spans="1:22" x14ac:dyDescent="0.3">
      <c r="B912">
        <v>9.1999999999999993</v>
      </c>
      <c r="E912" s="8" t="s">
        <v>9</v>
      </c>
      <c r="F912" s="3">
        <v>250</v>
      </c>
      <c r="G912" s="3">
        <v>0</v>
      </c>
      <c r="H912" s="3">
        <v>0</v>
      </c>
      <c r="I912" s="3">
        <v>0</v>
      </c>
      <c r="J912" s="3">
        <v>0</v>
      </c>
      <c r="K912" s="3">
        <f>IF($B$910=12,'payment summary to Trustee'!$AW912,('payment summary to Trustee'!$BD912-'CDE Intercept  '!$T912)/4)</f>
        <v>0</v>
      </c>
      <c r="L912" s="3">
        <f>IF($B$910=12,'payment summary to Trustee'!$AW912,('payment summary to Trustee'!$BD912-'CDE Intercept  '!$T912)/4)</f>
        <v>0</v>
      </c>
      <c r="M912" s="3">
        <f>IF($B$910=12,'payment summary to Trustee'!$AW912,('payment summary to Trustee'!$BD912-'CDE Intercept  '!$T912)/4)</f>
        <v>0</v>
      </c>
      <c r="N912" s="3">
        <v>0</v>
      </c>
      <c r="O912" s="118">
        <f>IF($B$910=12,'payment summary to Trustee'!$AW912,('payment summary to Trustee'!$BD912-'CDE Intercept  '!$T912)/4)</f>
        <v>0</v>
      </c>
      <c r="P912" s="3">
        <v>0</v>
      </c>
      <c r="Q912" s="3">
        <v>0</v>
      </c>
      <c r="R912" s="3">
        <f>SUM(F912:Q912)</f>
        <v>250</v>
      </c>
      <c r="T912" s="3">
        <f t="shared" ref="T912:T913" si="394">SUM(F912:J912)</f>
        <v>250</v>
      </c>
      <c r="U912" s="93">
        <f>SUM(K912:Q912)</f>
        <v>0</v>
      </c>
      <c r="V912" s="11">
        <f>SUM(T912:U912)-R912</f>
        <v>0</v>
      </c>
    </row>
    <row r="913" spans="1:22" ht="13.5" thickBot="1" x14ac:dyDescent="0.35">
      <c r="A913" t="s">
        <v>424</v>
      </c>
      <c r="B913">
        <v>9.3000000000000007</v>
      </c>
      <c r="E913" s="8" t="s">
        <v>10</v>
      </c>
      <c r="F913" s="3">
        <v>92378.13</v>
      </c>
      <c r="G913" s="3">
        <v>92378.13</v>
      </c>
      <c r="H913" s="3">
        <v>92378.13</v>
      </c>
      <c r="I913" s="3">
        <v>92378.13</v>
      </c>
      <c r="J913" s="3">
        <v>92378.13</v>
      </c>
      <c r="K913" s="3">
        <f>IF($B$910=12,'payment summary to Trustee'!$AW913,('payment summary to Trustee'!$BD913-'CDE Intercept  '!$T913)/4)</f>
        <v>161661.71249999999</v>
      </c>
      <c r="L913" s="3">
        <f>IF($B$910=12,'payment summary to Trustee'!$AW913,('payment summary to Trustee'!$BD913-'CDE Intercept  '!$T913)/4)</f>
        <v>161661.71249999999</v>
      </c>
      <c r="M913" s="3">
        <f>IF($B$910=12,'payment summary to Trustee'!$AW913,('payment summary to Trustee'!$BD913-'CDE Intercept  '!$T913)/4)</f>
        <v>161661.71249999999</v>
      </c>
      <c r="N913" s="3">
        <v>0</v>
      </c>
      <c r="O913" s="118">
        <f>IF($B$910=12,'payment summary to Trustee'!$AW913,('payment summary to Trustee'!$BD913-'CDE Intercept  '!$T913)/4)</f>
        <v>161661.71249999999</v>
      </c>
      <c r="P913" s="3">
        <v>0</v>
      </c>
      <c r="Q913" s="3">
        <v>0</v>
      </c>
      <c r="R913" s="3">
        <f>SUM(F913:Q913)</f>
        <v>1108537.5</v>
      </c>
      <c r="T913" s="3">
        <f t="shared" si="394"/>
        <v>461890.65</v>
      </c>
      <c r="U913" s="94">
        <f>SUM(K913:Q913)</f>
        <v>646646.85</v>
      </c>
      <c r="V913" s="11">
        <f>SUM(T913:U913)-R913</f>
        <v>0</v>
      </c>
    </row>
    <row r="914" spans="1:22" ht="13.5" thickBot="1" x14ac:dyDescent="0.35">
      <c r="E914" s="13" t="s">
        <v>243</v>
      </c>
      <c r="F914" s="22">
        <f t="shared" ref="F914:R914" si="395">SUM(F911:F913)</f>
        <v>92628.13</v>
      </c>
      <c r="G914" s="22">
        <f t="shared" si="395"/>
        <v>92378.13</v>
      </c>
      <c r="H914" s="22">
        <f t="shared" si="395"/>
        <v>92378.13</v>
      </c>
      <c r="I914" s="22">
        <f t="shared" si="395"/>
        <v>92378.13</v>
      </c>
      <c r="J914" s="22">
        <f t="shared" si="395"/>
        <v>92378.13</v>
      </c>
      <c r="K914" s="22">
        <f t="shared" si="395"/>
        <v>161661.71249999999</v>
      </c>
      <c r="L914" s="22">
        <f t="shared" si="395"/>
        <v>161661.71249999999</v>
      </c>
      <c r="M914" s="22">
        <f t="shared" si="395"/>
        <v>161661.71249999999</v>
      </c>
      <c r="N914" s="22">
        <f t="shared" si="395"/>
        <v>0</v>
      </c>
      <c r="O914" s="119">
        <f t="shared" si="395"/>
        <v>161661.71249999999</v>
      </c>
      <c r="P914" s="22">
        <f t="shared" ref="P914" si="396">SUM(P911:P913)</f>
        <v>0</v>
      </c>
      <c r="Q914" s="22">
        <f t="shared" si="395"/>
        <v>0</v>
      </c>
      <c r="R914" s="22">
        <f t="shared" si="395"/>
        <v>1108787.5</v>
      </c>
      <c r="T914" s="39">
        <f>SUM(T911:T913)</f>
        <v>462140.65</v>
      </c>
      <c r="U914" s="78">
        <f>SUM(U911:U913)</f>
        <v>646646.85</v>
      </c>
      <c r="V914" s="11">
        <f>SUM(T914:U914)-R914</f>
        <v>0</v>
      </c>
    </row>
    <row r="915" spans="1:22" x14ac:dyDescent="0.3">
      <c r="E915" s="15"/>
      <c r="O915" s="118"/>
    </row>
    <row r="916" spans="1:22" ht="15.5" x14ac:dyDescent="0.35">
      <c r="B916">
        <v>9</v>
      </c>
      <c r="C916" s="20">
        <f>C910+1</f>
        <v>111</v>
      </c>
      <c r="D916" s="1" t="s">
        <v>14</v>
      </c>
      <c r="E916" s="25" t="s">
        <v>425</v>
      </c>
      <c r="O916" s="118"/>
    </row>
    <row r="917" spans="1:22" x14ac:dyDescent="0.3">
      <c r="B917">
        <v>9.1</v>
      </c>
      <c r="E917" s="8" t="s">
        <v>8</v>
      </c>
      <c r="F917" s="3">
        <v>1271.67</v>
      </c>
      <c r="G917" s="3">
        <v>1271.67</v>
      </c>
      <c r="H917" s="3">
        <v>1271.67</v>
      </c>
      <c r="I917" s="3">
        <v>1271.67</v>
      </c>
      <c r="J917" s="3">
        <v>1261.25</v>
      </c>
      <c r="K917" s="3">
        <f>IF($B$916=12,'payment summary to Trustee'!$AW917,('payment summary to Trustee'!$BD917-'CDE Intercept  '!$T917)/4)</f>
        <v>2207.1875</v>
      </c>
      <c r="L917" s="3">
        <f>IF($B$916=12,'payment summary to Trustee'!$AW917,('payment summary to Trustee'!$BD917-'CDE Intercept  '!$T917)/4)</f>
        <v>2207.1875</v>
      </c>
      <c r="M917" s="3">
        <f>IF($B$916=12,'payment summary to Trustee'!$AW917,('payment summary to Trustee'!$BD917-'CDE Intercept  '!$T917)/4)</f>
        <v>2207.1875</v>
      </c>
      <c r="N917" s="3">
        <v>0</v>
      </c>
      <c r="O917" s="118">
        <f>IF($B$916=12,'payment summary to Trustee'!$AW917,('payment summary to Trustee'!$BD917-'CDE Intercept  '!$T917)/4)</f>
        <v>2207.1875</v>
      </c>
      <c r="P917" s="3">
        <v>0</v>
      </c>
      <c r="Q917" s="3">
        <v>0</v>
      </c>
      <c r="R917" s="3">
        <f>SUM(F917:Q917)</f>
        <v>15176.68</v>
      </c>
      <c r="T917" s="3">
        <f>SUM(F917:J917)</f>
        <v>6347.93</v>
      </c>
      <c r="U917" s="93">
        <f>SUM(K917:Q917)</f>
        <v>8828.75</v>
      </c>
      <c r="V917" s="11">
        <f>SUM(T917:U917)-R917</f>
        <v>0</v>
      </c>
    </row>
    <row r="918" spans="1:22" x14ac:dyDescent="0.3">
      <c r="B918">
        <v>9.1999999999999993</v>
      </c>
      <c r="E918" s="8" t="s">
        <v>9</v>
      </c>
      <c r="F918" s="3">
        <v>250</v>
      </c>
      <c r="G918" s="3">
        <v>0</v>
      </c>
      <c r="H918" s="3">
        <v>0</v>
      </c>
      <c r="I918" s="3">
        <v>0</v>
      </c>
      <c r="J918" s="3">
        <v>0</v>
      </c>
      <c r="K918" s="3">
        <f>IF($B$916=12,'payment summary to Trustee'!$AW918,('payment summary to Trustee'!$BD918-'CDE Intercept  '!$T918)/4)</f>
        <v>0</v>
      </c>
      <c r="L918" s="3">
        <f>IF($B$916=12,'payment summary to Trustee'!$AW918,('payment summary to Trustee'!$BD918-'CDE Intercept  '!$T918)/4)</f>
        <v>0</v>
      </c>
      <c r="M918" s="3">
        <f>IF($B$916=12,'payment summary to Trustee'!$AW918,('payment summary to Trustee'!$BD918-'CDE Intercept  '!$T918)/4)</f>
        <v>0</v>
      </c>
      <c r="N918" s="3">
        <v>0</v>
      </c>
      <c r="O918" s="118">
        <f>IF($B$916=12,'payment summary to Trustee'!$AW918,('payment summary to Trustee'!$BD918-'CDE Intercept  '!$T918)/4)</f>
        <v>0</v>
      </c>
      <c r="P918" s="3">
        <v>0</v>
      </c>
      <c r="Q918" s="3">
        <v>0</v>
      </c>
      <c r="R918" s="3">
        <f>SUM(F918:Q918)</f>
        <v>250</v>
      </c>
      <c r="T918" s="3">
        <f t="shared" ref="T918:T919" si="397">SUM(F918:J918)</f>
        <v>250</v>
      </c>
      <c r="U918" s="93">
        <f>SUM(K918:Q918)</f>
        <v>0</v>
      </c>
      <c r="V918" s="11">
        <f>SUM(T918:U918)-R918</f>
        <v>0</v>
      </c>
    </row>
    <row r="919" spans="1:22" ht="13.5" thickBot="1" x14ac:dyDescent="0.35">
      <c r="A919" t="s">
        <v>426</v>
      </c>
      <c r="B919">
        <v>9.3000000000000007</v>
      </c>
      <c r="E919" s="8" t="s">
        <v>10</v>
      </c>
      <c r="F919" s="3">
        <f>10416.67+69514.58</f>
        <v>79931.25</v>
      </c>
      <c r="G919" s="3">
        <f t="shared" ref="G919:I919" si="398">10416.67+69514.58</f>
        <v>79931.25</v>
      </c>
      <c r="H919" s="3">
        <f t="shared" si="398"/>
        <v>79931.25</v>
      </c>
      <c r="I919" s="3">
        <f t="shared" si="398"/>
        <v>79931.25</v>
      </c>
      <c r="J919" s="3">
        <f>10416.63+69514.6</f>
        <v>79931.23000000001</v>
      </c>
      <c r="K919" s="3">
        <f>IF($B$916=12,'payment summary to Trustee'!$AW919,('payment summary to Trustee'!$BD919-'CDE Intercept  '!$T919)/4)</f>
        <v>139697.38999999996</v>
      </c>
      <c r="L919" s="3">
        <f>IF($B$916=12,'payment summary to Trustee'!$AW919,('payment summary to Trustee'!$BD919-'CDE Intercept  '!$T919)/4)</f>
        <v>139697.38999999996</v>
      </c>
      <c r="M919" s="3">
        <f>IF($B$916=12,'payment summary to Trustee'!$AW919,('payment summary to Trustee'!$BD919-'CDE Intercept  '!$T919)/4)</f>
        <v>139697.38999999996</v>
      </c>
      <c r="N919" s="3">
        <v>0</v>
      </c>
      <c r="O919" s="118">
        <f>IF($B$916=12,'payment summary to Trustee'!$AW919,('payment summary to Trustee'!$BD919-'CDE Intercept  '!$T919)/4)</f>
        <v>139697.38999999996</v>
      </c>
      <c r="P919" s="3">
        <v>0</v>
      </c>
      <c r="Q919" s="3">
        <v>0</v>
      </c>
      <c r="R919" s="3">
        <f>SUM(F919:Q919)</f>
        <v>958445.78999999957</v>
      </c>
      <c r="T919" s="3">
        <f t="shared" si="397"/>
        <v>399656.23</v>
      </c>
      <c r="U919" s="94">
        <f>SUM(K919:Q919)</f>
        <v>558789.55999999982</v>
      </c>
      <c r="V919" s="11">
        <f>SUM(T919:U919)-R919</f>
        <v>0</v>
      </c>
    </row>
    <row r="920" spans="1:22" ht="13.5" thickBot="1" x14ac:dyDescent="0.35">
      <c r="E920" s="13" t="s">
        <v>176</v>
      </c>
      <c r="F920" s="22">
        <f t="shared" ref="F920:R920" si="399">SUM(F917:F919)</f>
        <v>81452.92</v>
      </c>
      <c r="G920" s="22">
        <f t="shared" si="399"/>
        <v>81202.92</v>
      </c>
      <c r="H920" s="22">
        <f t="shared" si="399"/>
        <v>81202.92</v>
      </c>
      <c r="I920" s="22">
        <f t="shared" si="399"/>
        <v>81202.92</v>
      </c>
      <c r="J920" s="22">
        <f t="shared" si="399"/>
        <v>81192.48000000001</v>
      </c>
      <c r="K920" s="22">
        <f t="shared" si="399"/>
        <v>141904.57749999996</v>
      </c>
      <c r="L920" s="22">
        <f t="shared" si="399"/>
        <v>141904.57749999996</v>
      </c>
      <c r="M920" s="22">
        <f t="shared" si="399"/>
        <v>141904.57749999996</v>
      </c>
      <c r="N920" s="22">
        <f t="shared" si="399"/>
        <v>0</v>
      </c>
      <c r="O920" s="119">
        <f t="shared" si="399"/>
        <v>141904.57749999996</v>
      </c>
      <c r="P920" s="22">
        <f t="shared" ref="P920" si="400">SUM(P917:P919)</f>
        <v>0</v>
      </c>
      <c r="Q920" s="22">
        <f t="shared" si="399"/>
        <v>0</v>
      </c>
      <c r="R920" s="22">
        <f t="shared" si="399"/>
        <v>973872.46999999962</v>
      </c>
      <c r="T920" s="39">
        <f>SUM(T917:T919)</f>
        <v>406254.16</v>
      </c>
      <c r="U920" s="78">
        <f>SUM(U917:U919)</f>
        <v>567618.30999999982</v>
      </c>
      <c r="V920" s="11">
        <f>SUM(T920:U920)-R920</f>
        <v>0</v>
      </c>
    </row>
    <row r="921" spans="1:22" x14ac:dyDescent="0.3">
      <c r="E921" s="15"/>
      <c r="O921" s="118"/>
    </row>
    <row r="922" spans="1:22" ht="15.5" x14ac:dyDescent="0.35">
      <c r="B922">
        <v>9</v>
      </c>
      <c r="C922" s="1">
        <f>C916+1</f>
        <v>112</v>
      </c>
      <c r="D922" s="1" t="s">
        <v>14</v>
      </c>
      <c r="E922" s="25" t="s">
        <v>427</v>
      </c>
      <c r="O922" s="118"/>
    </row>
    <row r="923" spans="1:22" x14ac:dyDescent="0.3">
      <c r="B923">
        <v>9.1</v>
      </c>
      <c r="E923" s="8" t="s">
        <v>8</v>
      </c>
      <c r="F923" s="3">
        <v>3129.58</v>
      </c>
      <c r="G923" s="3">
        <v>3129.58</v>
      </c>
      <c r="H923" s="3">
        <v>3129.58</v>
      </c>
      <c r="I923" s="3">
        <v>3129.58</v>
      </c>
      <c r="J923" s="3">
        <v>3129.58</v>
      </c>
      <c r="K923" s="3">
        <f>IF($B$922=12,'payment summary to Trustee'!$AW923,('payment summary to Trustee'!$BD923-'CDE Intercept  '!$T923)/4)</f>
        <v>5476.7650000000012</v>
      </c>
      <c r="L923" s="3">
        <f>IF($B$922=12,'payment summary to Trustee'!$AW923,('payment summary to Trustee'!$BD923-'CDE Intercept  '!$T923)/4)</f>
        <v>5476.7650000000012</v>
      </c>
      <c r="M923" s="3">
        <f>IF($B$922=12,'payment summary to Trustee'!$AW923,('payment summary to Trustee'!$BD923-'CDE Intercept  '!$T923)/4)</f>
        <v>5476.7650000000012</v>
      </c>
      <c r="N923" s="3">
        <v>0</v>
      </c>
      <c r="O923" s="118">
        <f>IF($B$922=12,'payment summary to Trustee'!$AW923,('payment summary to Trustee'!$BD923-'CDE Intercept  '!$T923)/4)</f>
        <v>5476.7650000000012</v>
      </c>
      <c r="P923" s="3">
        <v>0</v>
      </c>
      <c r="Q923" s="3">
        <v>0</v>
      </c>
      <c r="R923" s="3">
        <f>SUM(F923:Q923)</f>
        <v>37554.959999999999</v>
      </c>
      <c r="T923" s="3">
        <f>SUM(F923:J923)</f>
        <v>15647.9</v>
      </c>
      <c r="U923" s="93">
        <f>SUM(K923:Q923)</f>
        <v>21907.060000000005</v>
      </c>
      <c r="V923" s="11">
        <f>SUM(T923:U923)-R923</f>
        <v>0</v>
      </c>
    </row>
    <row r="924" spans="1:22" x14ac:dyDescent="0.3">
      <c r="B924">
        <v>9.1999999999999993</v>
      </c>
      <c r="E924" s="8" t="s">
        <v>9</v>
      </c>
      <c r="F924" s="3">
        <v>250</v>
      </c>
      <c r="G924" s="3">
        <v>0</v>
      </c>
      <c r="H924" s="3">
        <v>0</v>
      </c>
      <c r="I924" s="3">
        <v>0</v>
      </c>
      <c r="J924" s="3">
        <v>0</v>
      </c>
      <c r="K924" s="3">
        <f>IF($B$922=12,'payment summary to Trustee'!$AW924,('payment summary to Trustee'!$BD924-'CDE Intercept  '!$T924)/4)</f>
        <v>0</v>
      </c>
      <c r="L924" s="3">
        <f>IF($B$922=12,'payment summary to Trustee'!$AW924,('payment summary to Trustee'!$BD924-'CDE Intercept  '!$T924)/4)</f>
        <v>0</v>
      </c>
      <c r="M924" s="3">
        <f>IF($B$922=12,'payment summary to Trustee'!$AW924,('payment summary to Trustee'!$BD924-'CDE Intercept  '!$T924)/4)</f>
        <v>0</v>
      </c>
      <c r="N924" s="3">
        <v>0</v>
      </c>
      <c r="O924" s="118">
        <f>IF($B$922=12,'payment summary to Trustee'!$AW924,('payment summary to Trustee'!$BD924-'CDE Intercept  '!$T924)/4)</f>
        <v>0</v>
      </c>
      <c r="P924" s="3">
        <v>0</v>
      </c>
      <c r="Q924" s="3">
        <v>0</v>
      </c>
      <c r="R924" s="3">
        <f>SUM(F924:Q924)</f>
        <v>250</v>
      </c>
      <c r="T924" s="3">
        <f t="shared" ref="T924:T925" si="401">SUM(F924:J924)</f>
        <v>250</v>
      </c>
      <c r="U924" s="93">
        <f>SUM(K924:Q924)</f>
        <v>0</v>
      </c>
      <c r="V924" s="11">
        <f>SUM(T924:U924)-R924</f>
        <v>0</v>
      </c>
    </row>
    <row r="925" spans="1:22" ht="13.5" thickBot="1" x14ac:dyDescent="0.35">
      <c r="A925" t="s">
        <v>428</v>
      </c>
      <c r="B925">
        <v>9.3000000000000007</v>
      </c>
      <c r="E925" s="8" t="s">
        <v>10</v>
      </c>
      <c r="F925" s="3">
        <v>91537.5</v>
      </c>
      <c r="G925" s="3">
        <v>91537.5</v>
      </c>
      <c r="H925" s="3">
        <v>91537.5</v>
      </c>
      <c r="I925" s="3">
        <v>91537.5</v>
      </c>
      <c r="J925" s="3">
        <v>91537.5</v>
      </c>
      <c r="K925" s="3">
        <f>IF($B$922=12,'payment summary to Trustee'!$AW925,('payment summary to Trustee'!$BD925-'CDE Intercept  '!$T925)/4)</f>
        <v>228843.75</v>
      </c>
      <c r="L925" s="3">
        <f>IF($B$922=12,'payment summary to Trustee'!$AW925,('payment summary to Trustee'!$BD925-'CDE Intercept  '!$T925)/4)</f>
        <v>228843.75</v>
      </c>
      <c r="M925" s="3">
        <f>IF($B$922=12,'payment summary to Trustee'!$AW925,('payment summary to Trustee'!$BD925-'CDE Intercept  '!$T925)/4)</f>
        <v>228843.75</v>
      </c>
      <c r="N925" s="3">
        <v>0</v>
      </c>
      <c r="O925" s="118">
        <f>IF($B$922=12,'payment summary to Trustee'!$AW925,('payment summary to Trustee'!$BD925-'CDE Intercept  '!$T925)/4)</f>
        <v>228843.75</v>
      </c>
      <c r="P925" s="3">
        <v>0</v>
      </c>
      <c r="Q925" s="3">
        <v>0</v>
      </c>
      <c r="R925" s="3">
        <f>SUM(F925:Q925)</f>
        <v>1373062.5</v>
      </c>
      <c r="T925" s="3">
        <f t="shared" si="401"/>
        <v>457687.5</v>
      </c>
      <c r="U925" s="94">
        <f>SUM(K925:Q925)</f>
        <v>915375</v>
      </c>
      <c r="V925" s="11">
        <f>SUM(T925:U925)-R925</f>
        <v>0</v>
      </c>
    </row>
    <row r="926" spans="1:22" ht="13.5" thickBot="1" x14ac:dyDescent="0.35">
      <c r="E926" s="13" t="s">
        <v>229</v>
      </c>
      <c r="F926" s="22">
        <f t="shared" ref="F926:R926" si="402">SUM(F923:F925)</f>
        <v>94917.08</v>
      </c>
      <c r="G926" s="22">
        <f t="shared" si="402"/>
        <v>94667.08</v>
      </c>
      <c r="H926" s="22">
        <f t="shared" si="402"/>
        <v>94667.08</v>
      </c>
      <c r="I926" s="22">
        <f t="shared" si="402"/>
        <v>94667.08</v>
      </c>
      <c r="J926" s="22">
        <f t="shared" si="402"/>
        <v>94667.08</v>
      </c>
      <c r="K926" s="22">
        <f t="shared" si="402"/>
        <v>234320.51500000001</v>
      </c>
      <c r="L926" s="22">
        <f t="shared" si="402"/>
        <v>234320.51500000001</v>
      </c>
      <c r="M926" s="22">
        <f t="shared" si="402"/>
        <v>234320.51500000001</v>
      </c>
      <c r="N926" s="22">
        <f t="shared" si="402"/>
        <v>0</v>
      </c>
      <c r="O926" s="119">
        <f t="shared" si="402"/>
        <v>234320.51500000001</v>
      </c>
      <c r="P926" s="22">
        <f t="shared" ref="P926" si="403">SUM(P923:P925)</f>
        <v>0</v>
      </c>
      <c r="Q926" s="22">
        <f t="shared" si="402"/>
        <v>0</v>
      </c>
      <c r="R926" s="22">
        <f t="shared" si="402"/>
        <v>1410867.46</v>
      </c>
      <c r="T926" s="39">
        <f>SUM(T923:T925)</f>
        <v>473585.4</v>
      </c>
      <c r="U926" s="78">
        <f>SUM(U923:U925)</f>
        <v>937282.06</v>
      </c>
      <c r="V926" s="11">
        <f>SUM(T926:U926)-R926</f>
        <v>0</v>
      </c>
    </row>
    <row r="927" spans="1:22" x14ac:dyDescent="0.3">
      <c r="E927" s="15"/>
      <c r="O927" s="118"/>
    </row>
    <row r="928" spans="1:22" ht="15.5" x14ac:dyDescent="0.35">
      <c r="B928">
        <v>9</v>
      </c>
      <c r="C928" s="1">
        <f>C922+1</f>
        <v>113</v>
      </c>
      <c r="D928" s="1" t="s">
        <v>14</v>
      </c>
      <c r="E928" s="25" t="s">
        <v>429</v>
      </c>
      <c r="O928" s="118"/>
    </row>
    <row r="929" spans="1:22" x14ac:dyDescent="0.3">
      <c r="B929">
        <v>9.1</v>
      </c>
      <c r="E929" s="8" t="s">
        <v>8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f>IF($B$928=12,'payment summary to Trustee'!$AW929,('payment summary to Trustee'!$BD929-'CDE Intercept  '!$T929)/4)</f>
        <v>0</v>
      </c>
      <c r="L929" s="3">
        <f>IF($B$928=12,'payment summary to Trustee'!$AW929,('payment summary to Trustee'!$BD929-'CDE Intercept  '!$T929)/4)</f>
        <v>0</v>
      </c>
      <c r="M929" s="3">
        <f>IF($B$928=12,'payment summary to Trustee'!$AW929,('payment summary to Trustee'!$BD929-'CDE Intercept  '!$T929)/4)</f>
        <v>0</v>
      </c>
      <c r="N929" s="3">
        <v>0</v>
      </c>
      <c r="O929" s="118">
        <f>IF($B$928=12,'payment summary to Trustee'!$AW929,('payment summary to Trustee'!$BD929-'CDE Intercept  '!$T929)/4)</f>
        <v>0</v>
      </c>
      <c r="P929" s="3">
        <v>0</v>
      </c>
      <c r="Q929" s="3">
        <v>0</v>
      </c>
      <c r="R929" s="3">
        <f>SUM(F929:Q929)</f>
        <v>0</v>
      </c>
      <c r="T929" s="3">
        <f>SUM(F929:J929)</f>
        <v>0</v>
      </c>
      <c r="U929" s="93">
        <f>SUM(K929:Q929)</f>
        <v>0</v>
      </c>
      <c r="V929" s="11">
        <f>SUM(T929:U929)-R929</f>
        <v>0</v>
      </c>
    </row>
    <row r="930" spans="1:22" x14ac:dyDescent="0.3">
      <c r="B930">
        <v>9.1999999999999993</v>
      </c>
      <c r="E930" s="8" t="s">
        <v>9</v>
      </c>
      <c r="F930" s="3">
        <v>250</v>
      </c>
      <c r="G930" s="3">
        <v>0</v>
      </c>
      <c r="H930" s="3">
        <v>0</v>
      </c>
      <c r="I930" s="3">
        <v>0</v>
      </c>
      <c r="J930" s="3">
        <v>0</v>
      </c>
      <c r="K930" s="3">
        <f>IF($B$928=12,'payment summary to Trustee'!$AW930,('payment summary to Trustee'!$BD930-'CDE Intercept  '!$T930)/4)</f>
        <v>0</v>
      </c>
      <c r="L930" s="3">
        <f>IF($B$928=12,'payment summary to Trustee'!$AW930,('payment summary to Trustee'!$BD930-'CDE Intercept  '!$T930)/4)</f>
        <v>0</v>
      </c>
      <c r="M930" s="3">
        <f>IF($B$928=12,'payment summary to Trustee'!$AW930,('payment summary to Trustee'!$BD930-'CDE Intercept  '!$T930)/4)</f>
        <v>0</v>
      </c>
      <c r="N930" s="3">
        <v>0</v>
      </c>
      <c r="O930" s="118">
        <f>IF($B$928=12,'payment summary to Trustee'!$AW930,('payment summary to Trustee'!$BD930-'CDE Intercept  '!$T930)/4)</f>
        <v>0</v>
      </c>
      <c r="P930" s="3">
        <v>0</v>
      </c>
      <c r="Q930" s="3">
        <v>0</v>
      </c>
      <c r="R930" s="3">
        <f>SUM(F930:Q930)</f>
        <v>250</v>
      </c>
      <c r="T930" s="3">
        <f t="shared" ref="T930:T931" si="404">SUM(F930:J930)</f>
        <v>250</v>
      </c>
      <c r="U930" s="93">
        <f>SUM(K930:Q930)</f>
        <v>0</v>
      </c>
      <c r="V930" s="11">
        <f>SUM(T930:U930)-R930</f>
        <v>0</v>
      </c>
    </row>
    <row r="931" spans="1:22" ht="13.5" thickBot="1" x14ac:dyDescent="0.35">
      <c r="A931" t="s">
        <v>430</v>
      </c>
      <c r="B931">
        <v>9.3000000000000007</v>
      </c>
      <c r="E931" s="8" t="s">
        <v>10</v>
      </c>
      <c r="F931" s="3">
        <v>33507.29</v>
      </c>
      <c r="G931" s="3">
        <v>33507.29</v>
      </c>
      <c r="H931" s="3">
        <v>33507.29</v>
      </c>
      <c r="I931" s="3">
        <v>33507.29</v>
      </c>
      <c r="J931" s="3">
        <v>33507.29</v>
      </c>
      <c r="K931" s="3">
        <f>IF($B$928=12,'payment summary to Trustee'!$AW931,('payment summary to Trustee'!$BD931-'CDE Intercept  '!$T931)/4)</f>
        <v>58637.757499999978</v>
      </c>
      <c r="L931" s="3">
        <f>IF($B$928=12,'payment summary to Trustee'!$AW931,('payment summary to Trustee'!$BD931-'CDE Intercept  '!$T931)/4)</f>
        <v>58637.757499999978</v>
      </c>
      <c r="M931" s="3">
        <f>IF($B$928=12,'payment summary to Trustee'!$AW931,('payment summary to Trustee'!$BD931-'CDE Intercept  '!$T931)/4)</f>
        <v>58637.757499999978</v>
      </c>
      <c r="N931" s="3">
        <v>0</v>
      </c>
      <c r="O931" s="118">
        <f>IF($B$928=12,'payment summary to Trustee'!$AW931,('payment summary to Trustee'!$BD931-'CDE Intercept  '!$T931)/4)</f>
        <v>58637.757499999978</v>
      </c>
      <c r="P931" s="3">
        <v>0</v>
      </c>
      <c r="Q931" s="3">
        <v>0</v>
      </c>
      <c r="R931" s="3">
        <f>SUM(F931:Q931)</f>
        <v>402087.47999999986</v>
      </c>
      <c r="T931" s="3">
        <f t="shared" si="404"/>
        <v>167536.45000000001</v>
      </c>
      <c r="U931" s="94">
        <f>SUM(K931:Q931)</f>
        <v>234551.02999999991</v>
      </c>
      <c r="V931" s="11">
        <f>SUM(T931:U931)-R931</f>
        <v>0</v>
      </c>
    </row>
    <row r="932" spans="1:22" ht="13.5" thickBot="1" x14ac:dyDescent="0.35">
      <c r="E932" s="13" t="s">
        <v>37</v>
      </c>
      <c r="F932" s="22">
        <f t="shared" ref="F932:R932" si="405">SUM(F929:F931)</f>
        <v>33757.29</v>
      </c>
      <c r="G932" s="22">
        <f t="shared" si="405"/>
        <v>33507.29</v>
      </c>
      <c r="H932" s="22">
        <f t="shared" si="405"/>
        <v>33507.29</v>
      </c>
      <c r="I932" s="22">
        <f t="shared" si="405"/>
        <v>33507.29</v>
      </c>
      <c r="J932" s="22">
        <f t="shared" si="405"/>
        <v>33507.29</v>
      </c>
      <c r="K932" s="22">
        <f t="shared" si="405"/>
        <v>58637.757499999978</v>
      </c>
      <c r="L932" s="22">
        <f t="shared" si="405"/>
        <v>58637.757499999978</v>
      </c>
      <c r="M932" s="22">
        <f t="shared" si="405"/>
        <v>58637.757499999978</v>
      </c>
      <c r="N932" s="22">
        <f t="shared" si="405"/>
        <v>0</v>
      </c>
      <c r="O932" s="119">
        <f t="shared" si="405"/>
        <v>58637.757499999978</v>
      </c>
      <c r="P932" s="22">
        <f t="shared" ref="P932" si="406">SUM(P929:P931)</f>
        <v>0</v>
      </c>
      <c r="Q932" s="22">
        <f t="shared" si="405"/>
        <v>0</v>
      </c>
      <c r="R932" s="22">
        <f t="shared" si="405"/>
        <v>402337.47999999986</v>
      </c>
      <c r="T932" s="39">
        <f>SUM(T929:T931)</f>
        <v>167786.45</v>
      </c>
      <c r="U932" s="78">
        <f>SUM(U929:U931)</f>
        <v>234551.02999999991</v>
      </c>
      <c r="V932" s="11">
        <f>SUM(T932:U932)-R932</f>
        <v>0</v>
      </c>
    </row>
    <row r="933" spans="1:22" x14ac:dyDescent="0.3">
      <c r="E933" s="15"/>
      <c r="O933" s="118"/>
    </row>
    <row r="934" spans="1:22" ht="15.5" x14ac:dyDescent="0.35">
      <c r="B934">
        <v>9</v>
      </c>
      <c r="C934" s="1">
        <f>C928+1</f>
        <v>114</v>
      </c>
      <c r="D934" s="1" t="s">
        <v>14</v>
      </c>
      <c r="E934" s="25" t="s">
        <v>431</v>
      </c>
      <c r="O934" s="118"/>
    </row>
    <row r="935" spans="1:22" x14ac:dyDescent="0.3">
      <c r="B935">
        <v>9.1</v>
      </c>
      <c r="E935" s="8" t="s">
        <v>8</v>
      </c>
      <c r="F935" s="3">
        <v>532.27</v>
      </c>
      <c r="G935" s="3">
        <v>487.92</v>
      </c>
      <c r="H935" s="3">
        <v>487.92</v>
      </c>
      <c r="I935" s="3">
        <v>487.92</v>
      </c>
      <c r="J935" s="3">
        <v>487.92</v>
      </c>
      <c r="K935" s="3">
        <f>IF($B$934=12,'payment summary to Trustee'!$AW935,('payment summary to Trustee'!$BD935-'CDE Intercept  '!$T935)/4)</f>
        <v>853.86</v>
      </c>
      <c r="L935" s="3">
        <f>IF($B$934=12,'payment summary to Trustee'!$AW935,('payment summary to Trustee'!$BD935-'CDE Intercept  '!$T935)/4)</f>
        <v>853.86</v>
      </c>
      <c r="M935" s="3">
        <f>IF($B$934=12,'payment summary to Trustee'!$AW935,('payment summary to Trustee'!$BD935-'CDE Intercept  '!$T935)/4)</f>
        <v>853.86</v>
      </c>
      <c r="N935" s="3">
        <v>0</v>
      </c>
      <c r="O935" s="118">
        <f>IF($B$934=12,'payment summary to Trustee'!$AW935,('payment summary to Trustee'!$BD935-'CDE Intercept  '!$T935)/4)</f>
        <v>853.86</v>
      </c>
      <c r="P935" s="3">
        <v>0</v>
      </c>
      <c r="Q935" s="3">
        <v>0</v>
      </c>
      <c r="R935" s="3">
        <f>SUM(F935:Q935)</f>
        <v>5899.3899999999994</v>
      </c>
      <c r="T935" s="3">
        <f>SUM(F935:J935)</f>
        <v>2483.9500000000003</v>
      </c>
      <c r="U935" s="93">
        <f>SUM(K935:Q935)</f>
        <v>3415.44</v>
      </c>
      <c r="V935" s="11">
        <f>SUM(T935:U935)-R935</f>
        <v>0</v>
      </c>
    </row>
    <row r="936" spans="1:22" x14ac:dyDescent="0.3">
      <c r="B936">
        <v>9.1999999999999993</v>
      </c>
      <c r="E936" s="8" t="s">
        <v>9</v>
      </c>
      <c r="F936" s="3">
        <v>250</v>
      </c>
      <c r="G936" s="3">
        <v>0</v>
      </c>
      <c r="H936" s="3">
        <v>0</v>
      </c>
      <c r="I936" s="3">
        <v>0</v>
      </c>
      <c r="J936" s="3">
        <v>0</v>
      </c>
      <c r="K936" s="3">
        <f>IF($B$934=12,'payment summary to Trustee'!$AW936,('payment summary to Trustee'!$BD936-'CDE Intercept  '!$T936)/4)</f>
        <v>0</v>
      </c>
      <c r="L936" s="3">
        <f>IF($B$934=12,'payment summary to Trustee'!$AW936,('payment summary to Trustee'!$BD936-'CDE Intercept  '!$T936)/4)</f>
        <v>0</v>
      </c>
      <c r="M936" s="3">
        <f>IF($B$934=12,'payment summary to Trustee'!$AW936,('payment summary to Trustee'!$BD936-'CDE Intercept  '!$T936)/4)</f>
        <v>0</v>
      </c>
      <c r="N936" s="3">
        <v>0</v>
      </c>
      <c r="O936" s="118">
        <f>IF($B$934=12,'payment summary to Trustee'!$AW936,('payment summary to Trustee'!$BD936-'CDE Intercept  '!$T936)/4)</f>
        <v>0</v>
      </c>
      <c r="P936" s="3">
        <v>0</v>
      </c>
      <c r="Q936" s="3">
        <v>0</v>
      </c>
      <c r="R936" s="3">
        <f>SUM(F936:Q936)</f>
        <v>250</v>
      </c>
      <c r="T936" s="3">
        <f t="shared" ref="T936:T937" si="407">SUM(F936:J936)</f>
        <v>250</v>
      </c>
      <c r="U936" s="93">
        <f>SUM(K936:Q936)</f>
        <v>0</v>
      </c>
      <c r="V936" s="11">
        <f>SUM(T936:U936)-R936</f>
        <v>0</v>
      </c>
    </row>
    <row r="937" spans="1:22" ht="13.5" thickBot="1" x14ac:dyDescent="0.35">
      <c r="A937" t="s">
        <v>432</v>
      </c>
      <c r="B937">
        <v>9.3000000000000007</v>
      </c>
      <c r="E937" s="8" t="s">
        <v>10</v>
      </c>
      <c r="F937" s="3">
        <f>8750+23110.42</f>
        <v>31860.42</v>
      </c>
      <c r="G937" s="3">
        <f>8750+23110.42</f>
        <v>31860.42</v>
      </c>
      <c r="H937" s="3">
        <f t="shared" ref="H937:J937" si="408">8750+23110.42</f>
        <v>31860.42</v>
      </c>
      <c r="I937" s="3">
        <f t="shared" si="408"/>
        <v>31860.42</v>
      </c>
      <c r="J937" s="3">
        <f t="shared" si="408"/>
        <v>31860.42</v>
      </c>
      <c r="K937" s="3">
        <f>IF($B$934=12,'payment summary to Trustee'!$AW937,('payment summary to Trustee'!$BD937-'CDE Intercept  '!$T937)/4)</f>
        <v>55755.724999999991</v>
      </c>
      <c r="L937" s="3">
        <f>IF($B$934=12,'payment summary to Trustee'!$AW937,('payment summary to Trustee'!$BD937-'CDE Intercept  '!$T937)/4)</f>
        <v>55755.724999999991</v>
      </c>
      <c r="M937" s="3">
        <f>IF($B$934=12,'payment summary to Trustee'!$AW937,('payment summary to Trustee'!$BD937-'CDE Intercept  '!$T937)/4)</f>
        <v>55755.724999999991</v>
      </c>
      <c r="N937" s="3">
        <v>0</v>
      </c>
      <c r="O937" s="118">
        <f>IF($B$934=12,'payment summary to Trustee'!$AW937,('payment summary to Trustee'!$BD937-'CDE Intercept  '!$T937)/4)</f>
        <v>55755.724999999991</v>
      </c>
      <c r="P937" s="3">
        <v>0</v>
      </c>
      <c r="Q937" s="3">
        <v>0</v>
      </c>
      <c r="R937" s="3">
        <f>SUM(F937:Q937)</f>
        <v>382324.99999999988</v>
      </c>
      <c r="T937" s="3">
        <f t="shared" si="407"/>
        <v>159302.09999999998</v>
      </c>
      <c r="U937" s="94">
        <f>SUM(K937:Q937)</f>
        <v>223022.89999999997</v>
      </c>
      <c r="V937" s="11">
        <f>SUM(T937:U937)-R937</f>
        <v>0</v>
      </c>
    </row>
    <row r="938" spans="1:22" ht="13.5" thickBot="1" x14ac:dyDescent="0.35">
      <c r="E938" s="13" t="s">
        <v>126</v>
      </c>
      <c r="F938" s="22">
        <f t="shared" ref="F938:R938" si="409">SUM(F935:F937)</f>
        <v>32642.69</v>
      </c>
      <c r="G938" s="22">
        <f t="shared" si="409"/>
        <v>32348.339999999997</v>
      </c>
      <c r="H938" s="22">
        <f t="shared" si="409"/>
        <v>32348.339999999997</v>
      </c>
      <c r="I938" s="22">
        <f t="shared" si="409"/>
        <v>32348.339999999997</v>
      </c>
      <c r="J938" s="22">
        <f t="shared" si="409"/>
        <v>32348.339999999997</v>
      </c>
      <c r="K938" s="22">
        <f t="shared" si="409"/>
        <v>56609.584999999992</v>
      </c>
      <c r="L938" s="22">
        <f t="shared" si="409"/>
        <v>56609.584999999992</v>
      </c>
      <c r="M938" s="22">
        <f t="shared" si="409"/>
        <v>56609.584999999992</v>
      </c>
      <c r="N938" s="22">
        <f t="shared" si="409"/>
        <v>0</v>
      </c>
      <c r="O938" s="119">
        <f t="shared" si="409"/>
        <v>56609.584999999992</v>
      </c>
      <c r="P938" s="22">
        <f t="shared" ref="P938" si="410">SUM(P935:P937)</f>
        <v>0</v>
      </c>
      <c r="Q938" s="22">
        <f t="shared" si="409"/>
        <v>0</v>
      </c>
      <c r="R938" s="22">
        <f t="shared" si="409"/>
        <v>388474.3899999999</v>
      </c>
      <c r="T938" s="39">
        <f>SUM(T935:T937)</f>
        <v>162036.04999999999</v>
      </c>
      <c r="U938" s="78">
        <f>SUM(U935:U937)</f>
        <v>226438.33999999997</v>
      </c>
      <c r="V938" s="11">
        <f>SUM(T938:U938)-R938</f>
        <v>0</v>
      </c>
    </row>
    <row r="939" spans="1:22" x14ac:dyDescent="0.3">
      <c r="E939" s="15"/>
      <c r="O939" s="118"/>
    </row>
    <row r="940" spans="1:22" ht="15.5" x14ac:dyDescent="0.35">
      <c r="B940">
        <v>9</v>
      </c>
      <c r="C940" s="1">
        <f>C934+1</f>
        <v>115</v>
      </c>
      <c r="D940" s="1" t="s">
        <v>14</v>
      </c>
      <c r="E940" s="25" t="s">
        <v>433</v>
      </c>
      <c r="O940" s="118"/>
    </row>
    <row r="941" spans="1:22" x14ac:dyDescent="0.3">
      <c r="B941">
        <v>9.1</v>
      </c>
      <c r="E941" s="8" t="s">
        <v>8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f>IF($B$940=12,'payment summary to Trustee'!$AW941,('payment summary to Trustee'!$BD941-'CDE Intercept  '!$T941)/4)</f>
        <v>0</v>
      </c>
      <c r="L941" s="3">
        <f>IF($B$940=12,'payment summary to Trustee'!$AW941,('payment summary to Trustee'!$BD941-'CDE Intercept  '!$T941)/4)</f>
        <v>0</v>
      </c>
      <c r="M941" s="3">
        <f>IF($B$940=12,'payment summary to Trustee'!$AW941,('payment summary to Trustee'!$BD941-'CDE Intercept  '!$T941)/4)</f>
        <v>0</v>
      </c>
      <c r="N941" s="3">
        <v>0</v>
      </c>
      <c r="O941" s="118">
        <f>IF($B$940=12,'payment summary to Trustee'!$AW941,('payment summary to Trustee'!$BD941-'CDE Intercept  '!$T941)/4)</f>
        <v>0</v>
      </c>
      <c r="P941" s="3">
        <v>0</v>
      </c>
      <c r="Q941" s="3">
        <v>0</v>
      </c>
      <c r="R941" s="3">
        <f>SUM(F941:Q941)</f>
        <v>0</v>
      </c>
      <c r="T941" s="3">
        <f>SUM(F941:J941)</f>
        <v>0</v>
      </c>
      <c r="U941" s="93">
        <f>SUM(K941:Q941)</f>
        <v>0</v>
      </c>
      <c r="V941" s="11">
        <f>SUM(T941:U941)-R941</f>
        <v>0</v>
      </c>
    </row>
    <row r="942" spans="1:22" x14ac:dyDescent="0.3">
      <c r="B942">
        <v>9.1999999999999993</v>
      </c>
      <c r="E942" s="8" t="s">
        <v>9</v>
      </c>
      <c r="F942" s="3">
        <v>250</v>
      </c>
      <c r="G942" s="3">
        <v>0</v>
      </c>
      <c r="H942" s="3">
        <v>0</v>
      </c>
      <c r="I942" s="3">
        <v>0</v>
      </c>
      <c r="J942" s="3">
        <v>0</v>
      </c>
      <c r="K942" s="3">
        <f>IF($B$940=12,'payment summary to Trustee'!$AW942,('payment summary to Trustee'!$BD942-'CDE Intercept  '!$T942)/4)</f>
        <v>0</v>
      </c>
      <c r="L942" s="3">
        <f>IF($B$940=12,'payment summary to Trustee'!$AW942,('payment summary to Trustee'!$BD942-'CDE Intercept  '!$T942)/4)</f>
        <v>0</v>
      </c>
      <c r="M942" s="3">
        <f>IF($B$940=12,'payment summary to Trustee'!$AW942,('payment summary to Trustee'!$BD942-'CDE Intercept  '!$T942)/4)</f>
        <v>0</v>
      </c>
      <c r="N942" s="3">
        <v>0</v>
      </c>
      <c r="O942" s="118">
        <f>IF($B$940=12,'payment summary to Trustee'!$AW942,('payment summary to Trustee'!$BD942-'CDE Intercept  '!$T942)/4)</f>
        <v>0</v>
      </c>
      <c r="P942" s="3">
        <v>0</v>
      </c>
      <c r="Q942" s="3">
        <v>0</v>
      </c>
      <c r="R942" s="3">
        <f>SUM(F942:Q942)</f>
        <v>250</v>
      </c>
      <c r="T942" s="3">
        <f t="shared" ref="T942:T943" si="411">SUM(F942:J942)</f>
        <v>250</v>
      </c>
      <c r="U942" s="93">
        <f>SUM(K942:Q942)</f>
        <v>0</v>
      </c>
      <c r="V942" s="11">
        <f>SUM(T942:U942)-R942</f>
        <v>0</v>
      </c>
    </row>
    <row r="943" spans="1:22" ht="13.5" thickBot="1" x14ac:dyDescent="0.35">
      <c r="A943" t="s">
        <v>434</v>
      </c>
      <c r="B943">
        <v>9.3000000000000007</v>
      </c>
      <c r="E943" s="8" t="s">
        <v>10</v>
      </c>
      <c r="F943" s="3">
        <v>61050</v>
      </c>
      <c r="G943" s="3">
        <v>61050</v>
      </c>
      <c r="H943" s="3">
        <v>61050</v>
      </c>
      <c r="I943" s="3">
        <v>61050</v>
      </c>
      <c r="J943" s="3">
        <v>61050</v>
      </c>
      <c r="K943" s="3">
        <f>IF($B$940=12,'payment summary to Trustee'!$AW943,('payment summary to Trustee'!$BD943-'CDE Intercept  '!$T943)/4)</f>
        <v>108920.83249999999</v>
      </c>
      <c r="L943" s="3">
        <f>IF($B$940=12,'payment summary to Trustee'!$AW943,('payment summary to Trustee'!$BD943-'CDE Intercept  '!$T943)/4)</f>
        <v>108920.83249999999</v>
      </c>
      <c r="M943" s="3">
        <f>IF($B$940=12,'payment summary to Trustee'!$AW943,('payment summary to Trustee'!$BD943-'CDE Intercept  '!$T943)/4)</f>
        <v>108920.83249999999</v>
      </c>
      <c r="N943" s="3">
        <v>0</v>
      </c>
      <c r="O943" s="118">
        <f>IF($B$940=12,'payment summary to Trustee'!$AW943,('payment summary to Trustee'!$BD943-'CDE Intercept  '!$T943)/4)</f>
        <v>108920.83249999999</v>
      </c>
      <c r="P943" s="3">
        <v>0</v>
      </c>
      <c r="Q943" s="3">
        <v>0</v>
      </c>
      <c r="R943" s="3">
        <f>SUM(F943:Q943)</f>
        <v>740933.33000000007</v>
      </c>
      <c r="T943" s="3">
        <f t="shared" si="411"/>
        <v>305250</v>
      </c>
      <c r="U943" s="94">
        <f>SUM(K943:Q943)</f>
        <v>435683.32999999996</v>
      </c>
      <c r="V943" s="11">
        <f>SUM(T943:U943)-R943</f>
        <v>0</v>
      </c>
    </row>
    <row r="944" spans="1:22" ht="13.5" thickBot="1" x14ac:dyDescent="0.35">
      <c r="E944" s="13" t="s">
        <v>144</v>
      </c>
      <c r="F944" s="22">
        <f t="shared" ref="F944:R944" si="412">SUM(F941:F943)</f>
        <v>61300</v>
      </c>
      <c r="G944" s="22">
        <f t="shared" si="412"/>
        <v>61050</v>
      </c>
      <c r="H944" s="22">
        <f t="shared" si="412"/>
        <v>61050</v>
      </c>
      <c r="I944" s="22">
        <f t="shared" si="412"/>
        <v>61050</v>
      </c>
      <c r="J944" s="22">
        <f t="shared" si="412"/>
        <v>61050</v>
      </c>
      <c r="K944" s="22">
        <f t="shared" si="412"/>
        <v>108920.83249999999</v>
      </c>
      <c r="L944" s="22">
        <f t="shared" si="412"/>
        <v>108920.83249999999</v>
      </c>
      <c r="M944" s="22">
        <f t="shared" si="412"/>
        <v>108920.83249999999</v>
      </c>
      <c r="N944" s="22">
        <f t="shared" si="412"/>
        <v>0</v>
      </c>
      <c r="O944" s="119">
        <f t="shared" si="412"/>
        <v>108920.83249999999</v>
      </c>
      <c r="P944" s="22">
        <f t="shared" ref="P944" si="413">SUM(P941:P943)</f>
        <v>0</v>
      </c>
      <c r="Q944" s="22">
        <f t="shared" si="412"/>
        <v>0</v>
      </c>
      <c r="R944" s="22">
        <f t="shared" si="412"/>
        <v>741183.33000000007</v>
      </c>
      <c r="T944" s="39">
        <f>SUM(T941:T943)</f>
        <v>305500</v>
      </c>
      <c r="U944" s="78">
        <f>SUM(U941:U943)</f>
        <v>435683.32999999996</v>
      </c>
      <c r="V944" s="11">
        <f>SUM(T944:U944)-R944</f>
        <v>0</v>
      </c>
    </row>
    <row r="945" spans="1:22" x14ac:dyDescent="0.3">
      <c r="E945" s="15"/>
      <c r="O945" s="118"/>
    </row>
    <row r="946" spans="1:22" ht="15.5" x14ac:dyDescent="0.35">
      <c r="E946" s="10" t="s">
        <v>435</v>
      </c>
      <c r="O946" s="118"/>
    </row>
    <row r="947" spans="1:22" x14ac:dyDescent="0.3">
      <c r="E947" s="8" t="s">
        <v>8</v>
      </c>
      <c r="O947" s="118"/>
    </row>
    <row r="948" spans="1:22" x14ac:dyDescent="0.3">
      <c r="E948" s="8" t="s">
        <v>9</v>
      </c>
      <c r="O948" s="118"/>
    </row>
    <row r="949" spans="1:22" ht="13.5" thickBot="1" x14ac:dyDescent="0.35">
      <c r="A949" t="s">
        <v>436</v>
      </c>
      <c r="E949" s="8" t="s">
        <v>10</v>
      </c>
      <c r="O949" s="118"/>
    </row>
    <row r="950" spans="1:22" ht="13.5" thickBot="1" x14ac:dyDescent="0.35">
      <c r="E950" s="13" t="s">
        <v>437</v>
      </c>
      <c r="F950" s="39"/>
      <c r="G950" s="39"/>
      <c r="H950" s="39"/>
      <c r="I950" s="39"/>
      <c r="J950" s="39"/>
      <c r="K950" s="39"/>
      <c r="L950" s="39"/>
      <c r="M950" s="39"/>
      <c r="N950" s="39"/>
      <c r="O950" s="122"/>
      <c r="P950" s="39"/>
      <c r="Q950" s="39"/>
      <c r="R950" s="39"/>
      <c r="T950" s="39"/>
    </row>
    <row r="951" spans="1:22" x14ac:dyDescent="0.3">
      <c r="E951" s="15"/>
      <c r="O951" s="118"/>
    </row>
    <row r="952" spans="1:22" ht="15.5" x14ac:dyDescent="0.35">
      <c r="B952">
        <v>12</v>
      </c>
      <c r="C952" s="1">
        <f>C940+1</f>
        <v>116</v>
      </c>
      <c r="D952" s="1" t="s">
        <v>14</v>
      </c>
      <c r="E952" s="25" t="s">
        <v>438</v>
      </c>
      <c r="O952" s="118"/>
    </row>
    <row r="953" spans="1:22" x14ac:dyDescent="0.3">
      <c r="B953">
        <v>12.1</v>
      </c>
      <c r="E953" s="8" t="s">
        <v>8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0</v>
      </c>
      <c r="L953" s="3">
        <v>0</v>
      </c>
      <c r="M953" s="3">
        <v>0</v>
      </c>
      <c r="N953" s="3">
        <v>0</v>
      </c>
      <c r="O953" s="118">
        <v>0</v>
      </c>
      <c r="P953" s="3">
        <v>0</v>
      </c>
      <c r="Q953" s="3">
        <v>0</v>
      </c>
      <c r="R953" s="3">
        <f>SUM(F953:Q953)</f>
        <v>0</v>
      </c>
      <c r="T953" s="3">
        <f>SUM(F953:J953)</f>
        <v>0</v>
      </c>
      <c r="U953" s="93">
        <f>SUM(K953:Q953)</f>
        <v>0</v>
      </c>
      <c r="V953" s="11">
        <f>SUM(T953:U953)-R953</f>
        <v>0</v>
      </c>
    </row>
    <row r="954" spans="1:22" x14ac:dyDescent="0.3">
      <c r="B954">
        <v>12.2</v>
      </c>
      <c r="E954" s="8" t="s">
        <v>9</v>
      </c>
      <c r="F954" s="3">
        <v>250</v>
      </c>
      <c r="G954" s="3">
        <v>0</v>
      </c>
      <c r="H954" s="3">
        <v>0</v>
      </c>
      <c r="I954" s="3">
        <v>0</v>
      </c>
      <c r="J954" s="3">
        <v>0</v>
      </c>
      <c r="K954" s="3">
        <v>0</v>
      </c>
      <c r="L954" s="3">
        <v>0</v>
      </c>
      <c r="M954" s="3">
        <v>0</v>
      </c>
      <c r="N954" s="3">
        <v>0</v>
      </c>
      <c r="O954" s="118">
        <v>0</v>
      </c>
      <c r="P954" s="3">
        <v>0</v>
      </c>
      <c r="Q954" s="3">
        <v>0</v>
      </c>
      <c r="R954" s="3">
        <f>SUM(F954:Q954)</f>
        <v>250</v>
      </c>
      <c r="T954" s="3">
        <f t="shared" ref="T954:T955" si="414">SUM(F954:J954)</f>
        <v>250</v>
      </c>
      <c r="U954" s="93">
        <f>SUM(K954:Q954)</f>
        <v>0</v>
      </c>
      <c r="V954" s="11">
        <f>SUM(T954:U954)-R954</f>
        <v>0</v>
      </c>
    </row>
    <row r="955" spans="1:22" ht="13.5" thickBot="1" x14ac:dyDescent="0.35">
      <c r="A955" t="s">
        <v>439</v>
      </c>
      <c r="B955">
        <v>12.3</v>
      </c>
      <c r="E955" s="8" t="s">
        <v>10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0</v>
      </c>
      <c r="L955" s="3">
        <v>0</v>
      </c>
      <c r="M955" s="3">
        <v>0</v>
      </c>
      <c r="N955" s="3">
        <v>0</v>
      </c>
      <c r="O955" s="118">
        <v>362125</v>
      </c>
      <c r="P955" s="3">
        <v>362125</v>
      </c>
      <c r="Q955" s="3">
        <v>362125</v>
      </c>
      <c r="R955" s="3">
        <f>SUM(F955:Q955)</f>
        <v>1086375</v>
      </c>
      <c r="T955" s="3">
        <f t="shared" si="414"/>
        <v>0</v>
      </c>
      <c r="U955" s="94">
        <f>SUM(K955:Q955)</f>
        <v>1086375</v>
      </c>
      <c r="V955" s="11">
        <f>SUM(T955:U955)-R955</f>
        <v>0</v>
      </c>
    </row>
    <row r="956" spans="1:22" ht="13.5" thickBot="1" x14ac:dyDescent="0.35">
      <c r="E956" s="13" t="s">
        <v>437</v>
      </c>
      <c r="F956" s="22">
        <f t="shared" ref="F956:R956" si="415">SUM(F953:F955)</f>
        <v>250</v>
      </c>
      <c r="G956" s="22">
        <f t="shared" si="415"/>
        <v>0</v>
      </c>
      <c r="H956" s="22">
        <f t="shared" si="415"/>
        <v>0</v>
      </c>
      <c r="I956" s="22">
        <f t="shared" si="415"/>
        <v>0</v>
      </c>
      <c r="J956" s="22">
        <f t="shared" si="415"/>
        <v>0</v>
      </c>
      <c r="K956" s="22">
        <f t="shared" si="415"/>
        <v>0</v>
      </c>
      <c r="L956" s="22">
        <f t="shared" si="415"/>
        <v>0</v>
      </c>
      <c r="M956" s="22">
        <f t="shared" si="415"/>
        <v>0</v>
      </c>
      <c r="N956" s="22">
        <f t="shared" si="415"/>
        <v>0</v>
      </c>
      <c r="O956" s="119">
        <f t="shared" si="415"/>
        <v>362125</v>
      </c>
      <c r="P956" s="22">
        <f t="shared" si="415"/>
        <v>362125</v>
      </c>
      <c r="Q956" s="22">
        <f t="shared" si="415"/>
        <v>362125</v>
      </c>
      <c r="R956" s="22">
        <f t="shared" si="415"/>
        <v>1086625</v>
      </c>
      <c r="T956" s="39">
        <f>SUM(T953:T955)</f>
        <v>250</v>
      </c>
      <c r="U956" s="78">
        <f>SUM(U953:U955)</f>
        <v>1086375</v>
      </c>
      <c r="V956" s="11">
        <f>SUM(T956:U956)-R956</f>
        <v>0</v>
      </c>
    </row>
    <row r="957" spans="1:22" x14ac:dyDescent="0.3">
      <c r="E957" s="15"/>
      <c r="O957" s="118"/>
    </row>
    <row r="958" spans="1:22" ht="15.5" x14ac:dyDescent="0.35">
      <c r="B958">
        <v>12</v>
      </c>
      <c r="C958" s="1">
        <f>C952+1</f>
        <v>117</v>
      </c>
      <c r="D958" s="1" t="s">
        <v>14</v>
      </c>
      <c r="E958" s="25" t="s">
        <v>470</v>
      </c>
      <c r="O958" s="118"/>
    </row>
    <row r="959" spans="1:22" x14ac:dyDescent="0.3">
      <c r="B959">
        <v>12.1</v>
      </c>
      <c r="E959" s="8" t="s">
        <v>8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60">
        <f>IF($B$958=12,'payment summary to Trustee'!$AW959,('payment summary to Trustee'!$BD959-'CDE Intercept  '!$T959)/4)</f>
        <v>0</v>
      </c>
      <c r="L959" s="3">
        <f>IF($B$958=12,'payment summary to Trustee'!$AW959,('payment summary to Trustee'!$BD959-'CDE Intercept  '!$T959)/4)</f>
        <v>0</v>
      </c>
      <c r="M959" s="3">
        <f>IF($B$958=12,'payment summary to Trustee'!$AW959,('payment summary to Trustee'!$BD959-'CDE Intercept  '!$T959)/4)</f>
        <v>0</v>
      </c>
      <c r="N959" s="3">
        <f>IF($B$958=12,'payment summary to Trustee'!$AW959,('payment summary to Trustee'!$BD959-'CDE Intercept  '!$T959)/4)</f>
        <v>0</v>
      </c>
      <c r="O959" s="118">
        <v>0</v>
      </c>
      <c r="P959" s="3">
        <v>0</v>
      </c>
      <c r="Q959" s="3">
        <v>0</v>
      </c>
      <c r="R959" s="3">
        <f>SUM(F959:Q959)</f>
        <v>0</v>
      </c>
      <c r="T959" s="3">
        <f>SUM(F959:J959)</f>
        <v>0</v>
      </c>
      <c r="U959" s="93">
        <f>SUM(K959:Q959)</f>
        <v>0</v>
      </c>
      <c r="V959" s="11">
        <f>SUM(T959:U959)-R959</f>
        <v>0</v>
      </c>
    </row>
    <row r="960" spans="1:22" x14ac:dyDescent="0.3">
      <c r="B960">
        <v>12.2</v>
      </c>
      <c r="E960" s="8" t="s">
        <v>9</v>
      </c>
      <c r="F960" s="3">
        <v>250</v>
      </c>
      <c r="G960" s="3">
        <v>0</v>
      </c>
      <c r="H960" s="3">
        <v>0</v>
      </c>
      <c r="I960" s="3">
        <v>0</v>
      </c>
      <c r="J960" s="3">
        <v>0</v>
      </c>
      <c r="K960" s="60">
        <f>IF($B$958=12,'payment summary to Trustee'!$AW960,('payment summary to Trustee'!$BD960-'CDE Intercept  '!$T960)/4)</f>
        <v>0</v>
      </c>
      <c r="L960" s="3">
        <f>IF($B$958=12,'payment summary to Trustee'!$AW960,('payment summary to Trustee'!$BD960-'CDE Intercept  '!$T960)/4)</f>
        <v>0</v>
      </c>
      <c r="M960" s="3">
        <f>IF($B$958=12,'payment summary to Trustee'!$AW960,('payment summary to Trustee'!$BD960-'CDE Intercept  '!$T960)/4)</f>
        <v>0</v>
      </c>
      <c r="N960" s="3">
        <f>IF($B$958=12,'payment summary to Trustee'!$AW960,('payment summary to Trustee'!$BD960-'CDE Intercept  '!$T960)/4)</f>
        <v>0</v>
      </c>
      <c r="O960" s="118">
        <v>0</v>
      </c>
      <c r="P960" s="3">
        <v>0</v>
      </c>
      <c r="Q960" s="3">
        <v>0</v>
      </c>
      <c r="R960" s="3">
        <f>SUM(F960:Q960)</f>
        <v>250</v>
      </c>
      <c r="T960" s="3">
        <f t="shared" ref="T960:T961" si="416">SUM(F960:J960)</f>
        <v>250</v>
      </c>
      <c r="U960" s="93">
        <f>SUM(K960:Q960)</f>
        <v>0</v>
      </c>
      <c r="V960" s="11">
        <f>SUM(T960:U960)-R960</f>
        <v>0</v>
      </c>
    </row>
    <row r="961" spans="1:22" ht="13.5" thickBot="1" x14ac:dyDescent="0.35">
      <c r="A961" t="s">
        <v>440</v>
      </c>
      <c r="B961">
        <v>12.3</v>
      </c>
      <c r="E961" s="8" t="s">
        <v>10</v>
      </c>
      <c r="F961" s="3">
        <v>34714.58</v>
      </c>
      <c r="G961" s="3">
        <v>34714.58</v>
      </c>
      <c r="H961" s="3">
        <v>34714.58</v>
      </c>
      <c r="I961" s="3">
        <v>34714.58</v>
      </c>
      <c r="J961" s="3">
        <v>34714.58</v>
      </c>
      <c r="K961" s="60">
        <f>34714.6+78107.8</f>
        <v>112822.39999999999</v>
      </c>
      <c r="L961" s="3">
        <f>69429.17-69429.17</f>
        <v>0</v>
      </c>
      <c r="M961" s="3">
        <f>69429.17-8678.63</f>
        <v>60750.54</v>
      </c>
      <c r="N961" s="3">
        <v>69429.17</v>
      </c>
      <c r="O961" s="118">
        <v>69429.17</v>
      </c>
      <c r="P961" s="3">
        <v>69429.17</v>
      </c>
      <c r="Q961" s="3">
        <v>69429.149999999994</v>
      </c>
      <c r="R961" s="3">
        <f>SUM(F961:Q961)</f>
        <v>624862.5</v>
      </c>
      <c r="T961" s="3">
        <f t="shared" si="416"/>
        <v>173572.90000000002</v>
      </c>
      <c r="U961" s="94">
        <f>SUM(K961:Q961)</f>
        <v>451289.59999999998</v>
      </c>
      <c r="V961" s="11">
        <f>SUM(T961:U961)-R961</f>
        <v>0</v>
      </c>
    </row>
    <row r="962" spans="1:22" ht="13.5" thickBot="1" x14ac:dyDescent="0.35">
      <c r="E962" s="13" t="s">
        <v>238</v>
      </c>
      <c r="F962" s="22">
        <f t="shared" ref="F962:R962" si="417">SUM(F959:F961)</f>
        <v>34964.58</v>
      </c>
      <c r="G962" s="22">
        <f t="shared" si="417"/>
        <v>34714.58</v>
      </c>
      <c r="H962" s="22">
        <f t="shared" si="417"/>
        <v>34714.58</v>
      </c>
      <c r="I962" s="22">
        <f t="shared" si="417"/>
        <v>34714.58</v>
      </c>
      <c r="J962" s="22">
        <f t="shared" si="417"/>
        <v>34714.58</v>
      </c>
      <c r="K962" s="98">
        <f t="shared" si="417"/>
        <v>112822.39999999999</v>
      </c>
      <c r="L962" s="22">
        <f t="shared" si="417"/>
        <v>0</v>
      </c>
      <c r="M962" s="22">
        <f t="shared" si="417"/>
        <v>60750.54</v>
      </c>
      <c r="N962" s="22">
        <f t="shared" si="417"/>
        <v>69429.17</v>
      </c>
      <c r="O962" s="119">
        <f t="shared" si="417"/>
        <v>69429.17</v>
      </c>
      <c r="P962" s="22">
        <f t="shared" si="417"/>
        <v>69429.17</v>
      </c>
      <c r="Q962" s="22">
        <f t="shared" si="417"/>
        <v>69429.149999999994</v>
      </c>
      <c r="R962" s="22">
        <f t="shared" si="417"/>
        <v>625112.5</v>
      </c>
      <c r="T962" s="39">
        <f>SUM(T959:T961)</f>
        <v>173822.90000000002</v>
      </c>
      <c r="U962" s="78">
        <f>SUM(U959:U961)</f>
        <v>451289.59999999998</v>
      </c>
      <c r="V962" s="11">
        <f>SUM(T962:U962)-R962</f>
        <v>0</v>
      </c>
    </row>
    <row r="963" spans="1:22" x14ac:dyDescent="0.3">
      <c r="E963" s="15"/>
      <c r="O963" s="118"/>
    </row>
    <row r="964" spans="1:22" ht="15.5" x14ac:dyDescent="0.35">
      <c r="B964">
        <v>9</v>
      </c>
      <c r="C964" s="1">
        <f>C958+1</f>
        <v>118</v>
      </c>
      <c r="D964" s="1" t="s">
        <v>14</v>
      </c>
      <c r="E964" s="25" t="s">
        <v>441</v>
      </c>
      <c r="O964" s="118"/>
    </row>
    <row r="965" spans="1:22" x14ac:dyDescent="0.3">
      <c r="B965">
        <v>9.1</v>
      </c>
      <c r="E965" s="8" t="s">
        <v>8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f>IF($B$964=12,'payment summary to Trustee'!$AW965,('payment summary to Trustee'!$BD965-'CDE Intercept  '!$T965)/4)</f>
        <v>0</v>
      </c>
      <c r="L965" s="3">
        <f>IF($B$964=12,'payment summary to Trustee'!$AW965,('payment summary to Trustee'!$BD965-'CDE Intercept  '!$T965)/4)</f>
        <v>0</v>
      </c>
      <c r="M965" s="3">
        <f>IF($B$964=12,'payment summary to Trustee'!$AW965,('payment summary to Trustee'!$BD965-'CDE Intercept  '!$T965)/4)</f>
        <v>0</v>
      </c>
      <c r="N965" s="3">
        <v>0</v>
      </c>
      <c r="O965" s="118">
        <f>IF($B$964=12,'payment summary to Trustee'!$AW965,('payment summary to Trustee'!$BD965-'CDE Intercept  '!$T965)/4)</f>
        <v>0</v>
      </c>
      <c r="P965" s="3">
        <f>IF($B$964=12,'payment summary to Trustee'!$AW965,('payment summary to Trustee'!$BD965-'CDE Intercept  '!$T965)/4)</f>
        <v>0</v>
      </c>
      <c r="Q965" s="3">
        <v>0</v>
      </c>
      <c r="R965" s="3">
        <f>SUM(F965:Q965)</f>
        <v>0</v>
      </c>
      <c r="T965" s="3">
        <f>SUM(F965:J965)</f>
        <v>0</v>
      </c>
      <c r="U965" s="93">
        <f>SUM(K965:Q965)</f>
        <v>0</v>
      </c>
      <c r="V965" s="11">
        <f>SUM(T965:U965)-R965</f>
        <v>0</v>
      </c>
    </row>
    <row r="966" spans="1:22" x14ac:dyDescent="0.3">
      <c r="B966">
        <v>9.1999999999999993</v>
      </c>
      <c r="E966" s="8" t="s">
        <v>9</v>
      </c>
      <c r="F966" s="3">
        <v>250</v>
      </c>
      <c r="G966" s="3">
        <v>0</v>
      </c>
      <c r="H966" s="3">
        <v>0</v>
      </c>
      <c r="I966" s="3">
        <v>0</v>
      </c>
      <c r="J966" s="3">
        <v>0</v>
      </c>
      <c r="K966" s="3">
        <f>IF($B$964=12,'payment summary to Trustee'!$AW966,('payment summary to Trustee'!$BD966-'CDE Intercept  '!$T966)/4)</f>
        <v>0</v>
      </c>
      <c r="L966" s="3">
        <f>IF($B$964=12,'payment summary to Trustee'!$AW966,('payment summary to Trustee'!$BD966-'CDE Intercept  '!$T966)/4)</f>
        <v>0</v>
      </c>
      <c r="M966" s="3">
        <f>IF($B$964=12,'payment summary to Trustee'!$AW966,('payment summary to Trustee'!$BD966-'CDE Intercept  '!$T966)/4)</f>
        <v>0</v>
      </c>
      <c r="N966" s="3">
        <v>0</v>
      </c>
      <c r="O966" s="118">
        <f>IF($B$964=12,'payment summary to Trustee'!$AW966,('payment summary to Trustee'!$BD966-'CDE Intercept  '!$T966)/4)</f>
        <v>0</v>
      </c>
      <c r="P966" s="3">
        <v>0</v>
      </c>
      <c r="Q966" s="3">
        <v>0</v>
      </c>
      <c r="R966" s="3">
        <f>SUM(F966:Q966)</f>
        <v>250</v>
      </c>
      <c r="T966" s="3">
        <f t="shared" ref="T966:T967" si="418">SUM(F966:J966)</f>
        <v>250</v>
      </c>
      <c r="U966" s="93">
        <f>SUM(K966:Q966)</f>
        <v>0</v>
      </c>
      <c r="V966" s="11">
        <f>SUM(T966:U966)-R966</f>
        <v>0</v>
      </c>
    </row>
    <row r="967" spans="1:22" ht="13.5" thickBot="1" x14ac:dyDescent="0.35">
      <c r="A967" t="s">
        <v>442</v>
      </c>
      <c r="B967">
        <v>9.3000000000000007</v>
      </c>
      <c r="E967" s="8" t="s">
        <v>10</v>
      </c>
      <c r="F967" s="3">
        <f>308912.92-183912.92</f>
        <v>124999.99999999997</v>
      </c>
      <c r="G967" s="3">
        <f>308912.92-183912.92</f>
        <v>124999.99999999997</v>
      </c>
      <c r="H967" s="3">
        <f t="shared" ref="H967:J967" si="419">308912.92-183912.92</f>
        <v>124999.99999999997</v>
      </c>
      <c r="I967" s="3">
        <f t="shared" si="419"/>
        <v>124999.99999999997</v>
      </c>
      <c r="J967" s="3">
        <f t="shared" si="419"/>
        <v>124999.99999999997</v>
      </c>
      <c r="K967" s="3">
        <f>IF($B$964=12,'payment summary to Trustee'!$AW967,('payment summary to Trustee'!$BD967-'CDE Intercept  '!$T967)/4)</f>
        <v>281250.00499999989</v>
      </c>
      <c r="L967" s="3">
        <f>IF($B$964=12,'payment summary to Trustee'!$AW967,('payment summary to Trustee'!$BD967-'CDE Intercept  '!$T967)/4)</f>
        <v>281250.00499999989</v>
      </c>
      <c r="M967" s="3">
        <f>IF($B$964=12,'payment summary to Trustee'!$AW967,('payment summary to Trustee'!$BD967-'CDE Intercept  '!$T967)/4)</f>
        <v>281250.00499999989</v>
      </c>
      <c r="N967" s="3">
        <v>0</v>
      </c>
      <c r="O967" s="118">
        <f>IF($B$964=12,'payment summary to Trustee'!$AW967,('payment summary to Trustee'!$BD967-'CDE Intercept  '!$T967)/4)</f>
        <v>281250.00499999989</v>
      </c>
      <c r="P967" s="3">
        <v>0</v>
      </c>
      <c r="Q967" s="3">
        <v>0</v>
      </c>
      <c r="R967" s="3">
        <f>SUM(F967:Q967)</f>
        <v>1750000.0199999996</v>
      </c>
      <c r="T967" s="3">
        <f t="shared" si="418"/>
        <v>624999.99999999988</v>
      </c>
      <c r="U967" s="94">
        <f>SUM(K967:Q967)</f>
        <v>1125000.0199999996</v>
      </c>
      <c r="V967" s="11">
        <f>SUM(T967:U967)-R967</f>
        <v>0</v>
      </c>
    </row>
    <row r="968" spans="1:22" ht="13.5" thickBot="1" x14ac:dyDescent="0.35">
      <c r="E968" s="13" t="s">
        <v>354</v>
      </c>
      <c r="F968" s="22">
        <f t="shared" ref="F968:R968" si="420">SUM(F965:F967)</f>
        <v>125249.99999999997</v>
      </c>
      <c r="G968" s="22">
        <f t="shared" si="420"/>
        <v>124999.99999999997</v>
      </c>
      <c r="H968" s="22">
        <f t="shared" si="420"/>
        <v>124999.99999999997</v>
      </c>
      <c r="I968" s="22">
        <f t="shared" si="420"/>
        <v>124999.99999999997</v>
      </c>
      <c r="J968" s="22">
        <f t="shared" si="420"/>
        <v>124999.99999999997</v>
      </c>
      <c r="K968" s="22">
        <f t="shared" si="420"/>
        <v>281250.00499999989</v>
      </c>
      <c r="L968" s="22">
        <f t="shared" si="420"/>
        <v>281250.00499999989</v>
      </c>
      <c r="M968" s="22">
        <f t="shared" si="420"/>
        <v>281250.00499999989</v>
      </c>
      <c r="N968" s="22">
        <f t="shared" si="420"/>
        <v>0</v>
      </c>
      <c r="O968" s="119">
        <f t="shared" si="420"/>
        <v>281250.00499999989</v>
      </c>
      <c r="P968" s="22">
        <f t="shared" ref="P968" si="421">SUM(P965:P967)</f>
        <v>0</v>
      </c>
      <c r="Q968" s="22">
        <f t="shared" si="420"/>
        <v>0</v>
      </c>
      <c r="R968" s="22">
        <f t="shared" si="420"/>
        <v>1750250.0199999996</v>
      </c>
      <c r="T968" s="39">
        <f>SUM(T965:T967)</f>
        <v>625249.99999999988</v>
      </c>
      <c r="U968" s="78">
        <f>SUM(U965:U967)</f>
        <v>1125000.0199999996</v>
      </c>
      <c r="V968" s="11">
        <f>SUM(T968:U968)-R968</f>
        <v>0</v>
      </c>
    </row>
    <row r="969" spans="1:22" x14ac:dyDescent="0.3">
      <c r="E969" s="15"/>
      <c r="O969" s="118"/>
    </row>
    <row r="970" spans="1:22" ht="15.5" x14ac:dyDescent="0.35">
      <c r="B970">
        <v>9</v>
      </c>
      <c r="C970" s="1">
        <f>C964+1</f>
        <v>119</v>
      </c>
      <c r="D970" s="1" t="s">
        <v>14</v>
      </c>
      <c r="E970" s="25" t="s">
        <v>443</v>
      </c>
      <c r="O970" s="118"/>
    </row>
    <row r="971" spans="1:22" x14ac:dyDescent="0.3">
      <c r="B971">
        <v>9.1</v>
      </c>
      <c r="E971" s="8" t="s">
        <v>8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f>IF($B$970=12,'payment summary to Trustee'!$AW971,('payment summary to Trustee'!$BD971-'CDE Intercept  '!$T971)/4)</f>
        <v>0</v>
      </c>
      <c r="L971" s="3">
        <f>IF($B$970=12,'payment summary to Trustee'!$AW971,('payment summary to Trustee'!$BD971-'CDE Intercept  '!$T971)/4)</f>
        <v>0</v>
      </c>
      <c r="M971" s="3">
        <f>IF($B$970=12,'payment summary to Trustee'!$AW971,('payment summary to Trustee'!$BD971-'CDE Intercept  '!$T971)/4)</f>
        <v>0</v>
      </c>
      <c r="N971" s="3">
        <v>0</v>
      </c>
      <c r="O971" s="118">
        <f>IF($B$970=12,'payment summary to Trustee'!$AW971,('payment summary to Trustee'!$BD971-'CDE Intercept  '!$T971)/4)</f>
        <v>0</v>
      </c>
      <c r="P971" s="3">
        <v>0</v>
      </c>
      <c r="Q971" s="3">
        <v>0</v>
      </c>
      <c r="R971" s="3">
        <f>SUM(F971:Q971)</f>
        <v>0</v>
      </c>
      <c r="T971" s="3">
        <f>SUM(F971:J971)</f>
        <v>0</v>
      </c>
      <c r="U971" s="93">
        <f>SUM(K971:Q971)</f>
        <v>0</v>
      </c>
      <c r="V971" s="11">
        <f>SUM(T971:U971)-R971</f>
        <v>0</v>
      </c>
    </row>
    <row r="972" spans="1:22" x14ac:dyDescent="0.3">
      <c r="B972">
        <v>9.1999999999999993</v>
      </c>
      <c r="E972" s="8" t="s">
        <v>9</v>
      </c>
      <c r="F972" s="3">
        <v>250</v>
      </c>
      <c r="G972" s="3">
        <v>0</v>
      </c>
      <c r="H972" s="3">
        <v>0</v>
      </c>
      <c r="I972" s="3">
        <v>0</v>
      </c>
      <c r="J972" s="3">
        <v>0</v>
      </c>
      <c r="K972" s="3">
        <f>IF($B$970=12,'payment summary to Trustee'!$AW972,('payment summary to Trustee'!$BD972-'CDE Intercept  '!$T972)/4)</f>
        <v>0</v>
      </c>
      <c r="L972" s="3">
        <f>IF($B$970=12,'payment summary to Trustee'!$AW972,('payment summary to Trustee'!$BD972-'CDE Intercept  '!$T972)/4)</f>
        <v>0</v>
      </c>
      <c r="M972" s="3">
        <f>IF($B$970=12,'payment summary to Trustee'!$AW972,('payment summary to Trustee'!$BD972-'CDE Intercept  '!$T972)/4)</f>
        <v>0</v>
      </c>
      <c r="N972" s="3">
        <v>0</v>
      </c>
      <c r="O972" s="118">
        <f>IF($B$970=12,'payment summary to Trustee'!$AW972,('payment summary to Trustee'!$BD972-'CDE Intercept  '!$T972)/4)</f>
        <v>0</v>
      </c>
      <c r="P972" s="3">
        <v>0</v>
      </c>
      <c r="Q972" s="3">
        <v>0</v>
      </c>
      <c r="R972" s="3">
        <f>SUM(F972:Q972)</f>
        <v>250</v>
      </c>
      <c r="T972" s="3">
        <f t="shared" ref="T972:T973" si="422">SUM(F972:J972)</f>
        <v>250</v>
      </c>
      <c r="U972" s="93">
        <f>SUM(K972:Q972)</f>
        <v>0</v>
      </c>
      <c r="V972" s="11">
        <f>SUM(T972:U972)-R972</f>
        <v>0</v>
      </c>
    </row>
    <row r="973" spans="1:22" ht="13.5" thickBot="1" x14ac:dyDescent="0.35">
      <c r="A973" t="s">
        <v>444</v>
      </c>
      <c r="B973">
        <v>9.3000000000000007</v>
      </c>
      <c r="E973" s="8" t="s">
        <v>10</v>
      </c>
      <c r="F973" s="3">
        <v>54384.66</v>
      </c>
      <c r="G973" s="3">
        <v>54384.66</v>
      </c>
      <c r="H973" s="3">
        <v>54384.66</v>
      </c>
      <c r="I973" s="3">
        <v>54384.66</v>
      </c>
      <c r="J973" s="3">
        <v>54384.66</v>
      </c>
      <c r="K973" s="3">
        <f>IF($B$970=12,'payment summary to Trustee'!$AW973,('payment summary to Trustee'!$BD973-'CDE Intercept  '!$T973)/4)</f>
        <v>95173.155000000057</v>
      </c>
      <c r="L973" s="3">
        <f>IF($B$970=12,'payment summary to Trustee'!$AW973,('payment summary to Trustee'!$BD973-'CDE Intercept  '!$T973)/4)</f>
        <v>95173.155000000057</v>
      </c>
      <c r="M973" s="3">
        <f>IF($B$970=12,'payment summary to Trustee'!$AW973,('payment summary to Trustee'!$BD973-'CDE Intercept  '!$T973)/4)</f>
        <v>95173.155000000057</v>
      </c>
      <c r="N973" s="3">
        <v>0</v>
      </c>
      <c r="O973" s="118">
        <f>IF($B$970=12,'payment summary to Trustee'!$AW973,('payment summary to Trustee'!$BD973-'CDE Intercept  '!$T973)/4)</f>
        <v>95173.155000000057</v>
      </c>
      <c r="P973" s="3">
        <v>0</v>
      </c>
      <c r="Q973" s="3">
        <v>0</v>
      </c>
      <c r="R973" s="3">
        <f>SUM(F973:Q973)</f>
        <v>652615.92000000016</v>
      </c>
      <c r="T973" s="3">
        <f t="shared" si="422"/>
        <v>271923.30000000005</v>
      </c>
      <c r="U973" s="94">
        <f>SUM(K973:Q973)</f>
        <v>380692.62000000023</v>
      </c>
      <c r="V973" s="11">
        <f>SUM(T973:U973)-R973</f>
        <v>0</v>
      </c>
    </row>
    <row r="974" spans="1:22" ht="13.5" thickBot="1" x14ac:dyDescent="0.35">
      <c r="E974" s="13" t="s">
        <v>445</v>
      </c>
      <c r="F974" s="22">
        <f t="shared" ref="F974:R974" si="423">SUM(F971:F973)</f>
        <v>54634.66</v>
      </c>
      <c r="G974" s="22">
        <f t="shared" si="423"/>
        <v>54384.66</v>
      </c>
      <c r="H974" s="22">
        <f t="shared" si="423"/>
        <v>54384.66</v>
      </c>
      <c r="I974" s="22">
        <f t="shared" si="423"/>
        <v>54384.66</v>
      </c>
      <c r="J974" s="22">
        <f t="shared" si="423"/>
        <v>54384.66</v>
      </c>
      <c r="K974" s="22">
        <f t="shared" si="423"/>
        <v>95173.155000000057</v>
      </c>
      <c r="L974" s="22">
        <f t="shared" si="423"/>
        <v>95173.155000000057</v>
      </c>
      <c r="M974" s="22">
        <f t="shared" si="423"/>
        <v>95173.155000000057</v>
      </c>
      <c r="N974" s="22">
        <f t="shared" si="423"/>
        <v>0</v>
      </c>
      <c r="O974" s="119">
        <f t="shared" si="423"/>
        <v>95173.155000000057</v>
      </c>
      <c r="P974" s="22">
        <f t="shared" ref="P974" si="424">SUM(P971:P973)</f>
        <v>0</v>
      </c>
      <c r="Q974" s="22">
        <f t="shared" si="423"/>
        <v>0</v>
      </c>
      <c r="R974" s="22">
        <f t="shared" si="423"/>
        <v>652865.92000000016</v>
      </c>
      <c r="T974" s="39">
        <f>SUM(T971:T973)</f>
        <v>272173.30000000005</v>
      </c>
      <c r="U974" s="78">
        <f>SUM(U971:U973)</f>
        <v>380692.62000000023</v>
      </c>
      <c r="V974" s="11">
        <f>SUM(T974:U974)-R974</f>
        <v>0</v>
      </c>
    </row>
    <row r="975" spans="1:22" x14ac:dyDescent="0.3">
      <c r="E975" s="15"/>
      <c r="O975" s="118"/>
    </row>
    <row r="976" spans="1:22" ht="15.5" x14ac:dyDescent="0.35">
      <c r="B976">
        <v>9</v>
      </c>
      <c r="C976" s="1">
        <v>123</v>
      </c>
      <c r="D976" s="1" t="s">
        <v>14</v>
      </c>
      <c r="E976" s="25" t="s">
        <v>446</v>
      </c>
      <c r="O976" s="118"/>
    </row>
    <row r="977" spans="1:22" x14ac:dyDescent="0.3">
      <c r="B977">
        <v>9.1</v>
      </c>
      <c r="E977" s="8" t="s">
        <v>8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f>IF($B$976=12,'payment summary to Trustee'!$AW977,('payment summary to Trustee'!$BD977-'CDE Intercept  '!$T977)/4)</f>
        <v>0</v>
      </c>
      <c r="L977" s="3">
        <f>IF($B$976=12,'payment summary to Trustee'!$AW977,('payment summary to Trustee'!$BD977-'CDE Intercept  '!$T977)/4)</f>
        <v>0</v>
      </c>
      <c r="M977" s="3">
        <f>IF($B$976=12,'payment summary to Trustee'!$AW977,('payment summary to Trustee'!$BD977-'CDE Intercept  '!$T977)/4)</f>
        <v>0</v>
      </c>
      <c r="N977" s="3">
        <v>0</v>
      </c>
      <c r="O977" s="118">
        <f>IF($B$976=12,'payment summary to Trustee'!$AW977,('payment summary to Trustee'!$BD977-'CDE Intercept  '!$T977)/4)</f>
        <v>0</v>
      </c>
      <c r="P977" s="3">
        <v>0</v>
      </c>
      <c r="Q977" s="3">
        <v>0</v>
      </c>
      <c r="R977" s="3">
        <f>SUM(F977:Q977)</f>
        <v>0</v>
      </c>
      <c r="T977" s="3">
        <f>SUM(F977:J977)</f>
        <v>0</v>
      </c>
      <c r="U977" s="93">
        <f>SUM(K977:Q977)</f>
        <v>0</v>
      </c>
      <c r="V977" s="11">
        <f>SUM(T977:U977)-R977</f>
        <v>0</v>
      </c>
    </row>
    <row r="978" spans="1:22" x14ac:dyDescent="0.3">
      <c r="B978">
        <v>9.1999999999999993</v>
      </c>
      <c r="E978" s="8" t="s">
        <v>9</v>
      </c>
      <c r="F978" s="3">
        <v>250</v>
      </c>
      <c r="G978" s="3">
        <v>0</v>
      </c>
      <c r="H978" s="3">
        <v>0</v>
      </c>
      <c r="I978" s="3">
        <v>0</v>
      </c>
      <c r="J978" s="3">
        <v>0</v>
      </c>
      <c r="K978" s="3">
        <f>IF($B$976=12,'payment summary to Trustee'!$AW978,('payment summary to Trustee'!$BD978-'CDE Intercept  '!$T978)/4)</f>
        <v>0</v>
      </c>
      <c r="L978" s="3">
        <f>IF($B$976=12,'payment summary to Trustee'!$AW978,('payment summary to Trustee'!$BD978-'CDE Intercept  '!$T978)/4)</f>
        <v>0</v>
      </c>
      <c r="M978" s="3">
        <f>IF($B$976=12,'payment summary to Trustee'!$AW978,('payment summary to Trustee'!$BD978-'CDE Intercept  '!$T978)/4)</f>
        <v>0</v>
      </c>
      <c r="N978" s="3">
        <v>0</v>
      </c>
      <c r="O978" s="118">
        <f>IF($B$976=12,'payment summary to Trustee'!$AW978,('payment summary to Trustee'!$BD978-'CDE Intercept  '!$T978)/4)</f>
        <v>0</v>
      </c>
      <c r="P978" s="3">
        <v>0</v>
      </c>
      <c r="Q978" s="3">
        <v>0</v>
      </c>
      <c r="R978" s="3">
        <f>SUM(F978:Q978)</f>
        <v>250</v>
      </c>
      <c r="T978" s="3">
        <f t="shared" ref="T978:T979" si="425">SUM(F978:J978)</f>
        <v>250</v>
      </c>
      <c r="U978" s="93">
        <f>SUM(K978:Q978)</f>
        <v>0</v>
      </c>
      <c r="V978" s="11">
        <f>SUM(T978:U978)-R978</f>
        <v>0</v>
      </c>
    </row>
    <row r="979" spans="1:22" ht="13.5" thickBot="1" x14ac:dyDescent="0.35">
      <c r="A979" t="s">
        <v>447</v>
      </c>
      <c r="B979">
        <v>9.3000000000000007</v>
      </c>
      <c r="E979" s="8" t="s">
        <v>10</v>
      </c>
      <c r="F979" s="3">
        <f>12373.57+10286.62</f>
        <v>22660.190000000002</v>
      </c>
      <c r="G979" s="3">
        <f>12345.71+10314.48</f>
        <v>22660.19</v>
      </c>
      <c r="H979" s="3">
        <f>12317.77+10342.42</f>
        <v>22660.190000000002</v>
      </c>
      <c r="I979" s="3">
        <f>12289.76+10370.43</f>
        <v>22660.190000000002</v>
      </c>
      <c r="J979" s="3">
        <f>12261.67+10398.52</f>
        <v>22660.190000000002</v>
      </c>
      <c r="K979" s="3">
        <f>IF($B$976=12,'payment summary to Trustee'!$AW979,('payment summary to Trustee'!$BD979-'CDE Intercept  '!$T979)/4)</f>
        <v>39655.332500000004</v>
      </c>
      <c r="L979" s="3">
        <f>IF($B$976=12,'payment summary to Trustee'!$AW979,('payment summary to Trustee'!$BD979-'CDE Intercept  '!$T979)/4)</f>
        <v>39655.332500000004</v>
      </c>
      <c r="M979" s="3">
        <f>IF($B$976=12,'payment summary to Trustee'!$AW979,('payment summary to Trustee'!$BD979-'CDE Intercept  '!$T979)/4)</f>
        <v>39655.332500000004</v>
      </c>
      <c r="N979" s="3">
        <v>0</v>
      </c>
      <c r="O979" s="118">
        <f>IF($B$976=12,'payment summary to Trustee'!$AW979,('payment summary to Trustee'!$BD979-'CDE Intercept  '!$T979)/4)</f>
        <v>39655.332500000004</v>
      </c>
      <c r="P979" s="3">
        <v>0</v>
      </c>
      <c r="Q979" s="3">
        <v>0</v>
      </c>
      <c r="R979" s="3">
        <f>SUM(F979:Q979)</f>
        <v>271922.28000000009</v>
      </c>
      <c r="T979" s="3">
        <f t="shared" si="425"/>
        <v>113300.95000000001</v>
      </c>
      <c r="U979" s="94">
        <f>SUM(K979:Q979)</f>
        <v>158621.33000000002</v>
      </c>
      <c r="V979" s="11">
        <f>SUM(T979:U979)-R979</f>
        <v>0</v>
      </c>
    </row>
    <row r="980" spans="1:22" ht="13.5" thickBot="1" x14ac:dyDescent="0.35">
      <c r="E980" s="13" t="s">
        <v>448</v>
      </c>
      <c r="F980" s="22">
        <f t="shared" ref="F980:R980" si="426">SUM(F977:F979)</f>
        <v>22910.190000000002</v>
      </c>
      <c r="G980" s="22">
        <f t="shared" si="426"/>
        <v>22660.19</v>
      </c>
      <c r="H980" s="22">
        <f t="shared" si="426"/>
        <v>22660.190000000002</v>
      </c>
      <c r="I980" s="22">
        <f t="shared" si="426"/>
        <v>22660.190000000002</v>
      </c>
      <c r="J980" s="22">
        <f t="shared" si="426"/>
        <v>22660.190000000002</v>
      </c>
      <c r="K980" s="22">
        <f t="shared" si="426"/>
        <v>39655.332500000004</v>
      </c>
      <c r="L980" s="22">
        <f t="shared" si="426"/>
        <v>39655.332500000004</v>
      </c>
      <c r="M980" s="22">
        <f t="shared" si="426"/>
        <v>39655.332500000004</v>
      </c>
      <c r="N980" s="22">
        <f t="shared" si="426"/>
        <v>0</v>
      </c>
      <c r="O980" s="119">
        <f t="shared" si="426"/>
        <v>39655.332500000004</v>
      </c>
      <c r="P980" s="22">
        <f t="shared" ref="P980" si="427">SUM(P977:P979)</f>
        <v>0</v>
      </c>
      <c r="Q980" s="22">
        <f t="shared" si="426"/>
        <v>0</v>
      </c>
      <c r="R980" s="22">
        <f t="shared" si="426"/>
        <v>272172.28000000009</v>
      </c>
      <c r="T980" s="39">
        <f>SUM(T977:T979)</f>
        <v>113550.95000000001</v>
      </c>
      <c r="U980" s="78">
        <f>SUM(U977:U979)</f>
        <v>158621.33000000002</v>
      </c>
      <c r="V980" s="11">
        <f>SUM(T980:U980)-R980</f>
        <v>0</v>
      </c>
    </row>
    <row r="981" spans="1:22" x14ac:dyDescent="0.3">
      <c r="E981" s="15"/>
      <c r="O981" s="118"/>
    </row>
    <row r="982" spans="1:22" ht="15.5" x14ac:dyDescent="0.35">
      <c r="B982">
        <v>9</v>
      </c>
      <c r="C982" s="1">
        <v>124</v>
      </c>
      <c r="D982" s="1" t="s">
        <v>14</v>
      </c>
      <c r="E982" s="25" t="s">
        <v>472</v>
      </c>
      <c r="O982" s="118"/>
    </row>
    <row r="983" spans="1:22" x14ac:dyDescent="0.3">
      <c r="B983">
        <v>9.1</v>
      </c>
      <c r="E983" s="45" t="s">
        <v>8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f>IF($B$982=12,'payment summary to Trustee'!$AW983,('payment summary to Trustee'!$BD983-'CDE Intercept  '!$T983)/4)</f>
        <v>0</v>
      </c>
      <c r="L983" s="3">
        <f>IF($B$982=12,'payment summary to Trustee'!$AW983,('payment summary to Trustee'!$BD983-'CDE Intercept  '!$T983)/4)</f>
        <v>0</v>
      </c>
      <c r="M983" s="3">
        <f>IF($B$982=12,'payment summary to Trustee'!$AW983,('payment summary to Trustee'!$BD983-'CDE Intercept  '!$T983)/4)</f>
        <v>0</v>
      </c>
      <c r="N983" s="3">
        <v>0</v>
      </c>
      <c r="O983" s="118">
        <f>IF($B$982=12,'payment summary to Trustee'!$AW983,('payment summary to Trustee'!$BD983-'CDE Intercept  '!$T983)/4)</f>
        <v>0</v>
      </c>
      <c r="P983" s="3">
        <v>0</v>
      </c>
      <c r="Q983" s="3">
        <v>0</v>
      </c>
      <c r="R983" s="3">
        <f>SUM(F983:Q983)</f>
        <v>0</v>
      </c>
      <c r="T983" s="3">
        <f>SUM(F983:J983)</f>
        <v>0</v>
      </c>
      <c r="U983" s="93">
        <f>SUM(K983:Q983)</f>
        <v>0</v>
      </c>
      <c r="V983" s="11">
        <f>SUM(T983:U983)-R983</f>
        <v>0</v>
      </c>
    </row>
    <row r="984" spans="1:22" x14ac:dyDescent="0.3">
      <c r="B984">
        <v>9.1999999999999993</v>
      </c>
      <c r="E984" s="45" t="s">
        <v>9</v>
      </c>
      <c r="F984" s="3">
        <v>250</v>
      </c>
      <c r="G984" s="3">
        <v>0</v>
      </c>
      <c r="H984" s="3">
        <v>0</v>
      </c>
      <c r="I984" s="3">
        <v>0</v>
      </c>
      <c r="J984" s="3">
        <v>0</v>
      </c>
      <c r="K984" s="3">
        <f>IF($B$982=12,'payment summary to Trustee'!$AW984,('payment summary to Trustee'!$BD984-'CDE Intercept  '!$T984)/4)</f>
        <v>0</v>
      </c>
      <c r="L984" s="3">
        <f>IF($B$982=12,'payment summary to Trustee'!$AW984,('payment summary to Trustee'!$BD984-'CDE Intercept  '!$T984)/4)</f>
        <v>0</v>
      </c>
      <c r="M984" s="3">
        <f>IF($B$982=12,'payment summary to Trustee'!$AW984,('payment summary to Trustee'!$BD984-'CDE Intercept  '!$T984)/4)</f>
        <v>0</v>
      </c>
      <c r="N984" s="3">
        <v>0</v>
      </c>
      <c r="O984" s="118">
        <f>IF($B$982=12,'payment summary to Trustee'!$AW984,('payment summary to Trustee'!$BD984-'CDE Intercept  '!$T984)/4)</f>
        <v>0</v>
      </c>
      <c r="P984" s="3">
        <v>0</v>
      </c>
      <c r="Q984" s="3">
        <v>0</v>
      </c>
      <c r="R984" s="3">
        <f>SUM(F984:Q984)</f>
        <v>250</v>
      </c>
      <c r="T984" s="3">
        <f t="shared" ref="T984:T985" si="428">SUM(F984:J984)</f>
        <v>250</v>
      </c>
      <c r="U984" s="93">
        <f>SUM(K984:Q984)</f>
        <v>0</v>
      </c>
      <c r="V984" s="11">
        <f>SUM(T984:U984)-R984</f>
        <v>0</v>
      </c>
    </row>
    <row r="985" spans="1:22" ht="13.5" thickBot="1" x14ac:dyDescent="0.35">
      <c r="A985" t="s">
        <v>449</v>
      </c>
      <c r="B985">
        <v>9.3000000000000007</v>
      </c>
      <c r="E985" s="45" t="s">
        <v>10</v>
      </c>
      <c r="F985" s="3">
        <f>132735.94-75534.64</f>
        <v>57201.3</v>
      </c>
      <c r="G985" s="3">
        <f t="shared" ref="G985:I985" si="429">132735.94-75534.64</f>
        <v>57201.3</v>
      </c>
      <c r="H985" s="3">
        <f t="shared" si="429"/>
        <v>57201.3</v>
      </c>
      <c r="I985" s="3">
        <f t="shared" si="429"/>
        <v>57201.3</v>
      </c>
      <c r="J985" s="3">
        <f>132735.93-75534.62</f>
        <v>57201.31</v>
      </c>
      <c r="K985" s="3">
        <f>IF($B$982=12,'payment summary to Trustee'!$AW985,('payment summary to Trustee'!$BD985-'CDE Intercept  '!$T985)/4)</f>
        <v>122735.9375</v>
      </c>
      <c r="L985" s="3">
        <f>IF($B$982=12,'payment summary to Trustee'!$AW985,('payment summary to Trustee'!$BD985-'CDE Intercept  '!$T985)/4)</f>
        <v>122735.9375</v>
      </c>
      <c r="M985" s="3">
        <f>IF($B$982=12,'payment summary to Trustee'!$AW985,('payment summary to Trustee'!$BD985-'CDE Intercept  '!$T985)/4)</f>
        <v>122735.9375</v>
      </c>
      <c r="N985" s="3">
        <v>0</v>
      </c>
      <c r="O985" s="118">
        <f>IF($B$982=12,'payment summary to Trustee'!$AW985,('payment summary to Trustee'!$BD985-'CDE Intercept  '!$T985)/4)</f>
        <v>122735.9375</v>
      </c>
      <c r="P985" s="3">
        <v>0</v>
      </c>
      <c r="Q985" s="3">
        <v>0</v>
      </c>
      <c r="R985" s="3">
        <f>SUM(F985:Q985)</f>
        <v>776950.26</v>
      </c>
      <c r="T985" s="3">
        <f t="shared" si="428"/>
        <v>286006.51</v>
      </c>
      <c r="U985" s="94">
        <f>SUM(K985:Q985)</f>
        <v>490943.75</v>
      </c>
      <c r="V985" s="11">
        <f>SUM(T985:U985)-R985</f>
        <v>0</v>
      </c>
    </row>
    <row r="986" spans="1:22" ht="13.5" thickBot="1" x14ac:dyDescent="0.35">
      <c r="E986" s="46" t="s">
        <v>450</v>
      </c>
      <c r="F986" s="22">
        <f t="shared" ref="F986:R986" si="430">SUM(F983:F985)</f>
        <v>57451.3</v>
      </c>
      <c r="G986" s="22">
        <f t="shared" si="430"/>
        <v>57201.3</v>
      </c>
      <c r="H986" s="22">
        <f t="shared" si="430"/>
        <v>57201.3</v>
      </c>
      <c r="I986" s="22">
        <f t="shared" si="430"/>
        <v>57201.3</v>
      </c>
      <c r="J986" s="22">
        <f t="shared" si="430"/>
        <v>57201.31</v>
      </c>
      <c r="K986" s="22">
        <f t="shared" si="430"/>
        <v>122735.9375</v>
      </c>
      <c r="L986" s="22">
        <f t="shared" si="430"/>
        <v>122735.9375</v>
      </c>
      <c r="M986" s="22">
        <f t="shared" si="430"/>
        <v>122735.9375</v>
      </c>
      <c r="N986" s="22">
        <f t="shared" si="430"/>
        <v>0</v>
      </c>
      <c r="O986" s="119">
        <f t="shared" si="430"/>
        <v>122735.9375</v>
      </c>
      <c r="P986" s="22">
        <f t="shared" ref="P986" si="431">SUM(P983:P985)</f>
        <v>0</v>
      </c>
      <c r="Q986" s="22">
        <f t="shared" si="430"/>
        <v>0</v>
      </c>
      <c r="R986" s="22">
        <f t="shared" si="430"/>
        <v>777200.26</v>
      </c>
      <c r="T986" s="39">
        <f>SUM(T983:T985)</f>
        <v>286256.51</v>
      </c>
      <c r="U986" s="78">
        <f>SUM(U983:U985)</f>
        <v>490943.75</v>
      </c>
      <c r="V986" s="11">
        <f>SUM(T986:U986)-R986</f>
        <v>0</v>
      </c>
    </row>
    <row r="987" spans="1:22" x14ac:dyDescent="0.3">
      <c r="E987" s="15"/>
      <c r="O987" s="118"/>
    </row>
    <row r="988" spans="1:22" ht="15.5" x14ac:dyDescent="0.35">
      <c r="B988">
        <v>12</v>
      </c>
      <c r="C988" s="1">
        <v>125</v>
      </c>
      <c r="D988" s="1" t="s">
        <v>14</v>
      </c>
      <c r="E988" s="25" t="s">
        <v>451</v>
      </c>
      <c r="O988" s="118"/>
    </row>
    <row r="989" spans="1:22" x14ac:dyDescent="0.3">
      <c r="B989">
        <v>12.1</v>
      </c>
      <c r="E989" s="45" t="s">
        <v>8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3">
        <v>0</v>
      </c>
      <c r="O989" s="118">
        <v>0</v>
      </c>
      <c r="P989" s="3">
        <v>0</v>
      </c>
      <c r="Q989" s="3">
        <v>0</v>
      </c>
      <c r="R989" s="3">
        <f>SUM(F989:Q989)</f>
        <v>0</v>
      </c>
      <c r="T989" s="3">
        <f>SUM(F989:J989)</f>
        <v>0</v>
      </c>
      <c r="U989" s="93">
        <f>SUM(K989:Q989)</f>
        <v>0</v>
      </c>
      <c r="V989" s="11">
        <f>SUM(T989:U989)-R989</f>
        <v>0</v>
      </c>
    </row>
    <row r="990" spans="1:22" x14ac:dyDescent="0.3">
      <c r="B990">
        <v>12.2</v>
      </c>
      <c r="E990" s="45" t="s">
        <v>9</v>
      </c>
      <c r="F990" s="3">
        <v>250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0</v>
      </c>
      <c r="N990" s="3">
        <v>0</v>
      </c>
      <c r="O990" s="118">
        <v>0</v>
      </c>
      <c r="P990" s="3">
        <v>0</v>
      </c>
      <c r="Q990" s="3">
        <v>0</v>
      </c>
      <c r="R990" s="3">
        <f>SUM(F990:Q990)</f>
        <v>250</v>
      </c>
      <c r="T990" s="3">
        <f t="shared" ref="T990:T991" si="432">SUM(F990:J990)</f>
        <v>250</v>
      </c>
      <c r="U990" s="93">
        <f>SUM(K990:Q990)</f>
        <v>0</v>
      </c>
      <c r="V990" s="11">
        <f>SUM(T990:U990)-R990</f>
        <v>0</v>
      </c>
    </row>
    <row r="991" spans="1:22" ht="13.5" thickBot="1" x14ac:dyDescent="0.35">
      <c r="A991" t="s">
        <v>452</v>
      </c>
      <c r="B991">
        <v>12.3</v>
      </c>
      <c r="E991" s="45" t="s">
        <v>10</v>
      </c>
      <c r="F991" s="3">
        <v>32938.06</v>
      </c>
      <c r="G991" s="3">
        <v>32938.06</v>
      </c>
      <c r="H991" s="3">
        <v>31875.54</v>
      </c>
      <c r="I991" s="3">
        <v>32938.06</v>
      </c>
      <c r="J991" s="3">
        <v>31875.54</v>
      </c>
      <c r="K991" s="3">
        <f>8075.43+32938.06</f>
        <v>41013.49</v>
      </c>
      <c r="L991" s="3">
        <f>8117.99+32895.5</f>
        <v>41013.49</v>
      </c>
      <c r="M991" s="3">
        <f>11340.07+29673.42</f>
        <v>41013.49</v>
      </c>
      <c r="N991" s="3">
        <f>8220.68+32792.81</f>
        <v>41013.49</v>
      </c>
      <c r="O991" s="118">
        <f>9320.45+31693.05</f>
        <v>41013.5</v>
      </c>
      <c r="P991" s="3">
        <f>8313.18+32700.31</f>
        <v>41013.490000000005</v>
      </c>
      <c r="Q991" s="3">
        <f>9410.43+31603.06</f>
        <v>41013.490000000005</v>
      </c>
      <c r="R991" s="3">
        <f>SUM(F991:Q991)</f>
        <v>449659.69999999995</v>
      </c>
      <c r="T991" s="3">
        <f t="shared" si="432"/>
        <v>162565.26</v>
      </c>
      <c r="U991" s="94">
        <f>SUM(K991:Q991)</f>
        <v>287094.44</v>
      </c>
      <c r="V991" s="11">
        <f>SUM(T991:U991)-R991</f>
        <v>0</v>
      </c>
    </row>
    <row r="992" spans="1:22" ht="13.5" thickBot="1" x14ac:dyDescent="0.35">
      <c r="E992" s="46" t="s">
        <v>453</v>
      </c>
      <c r="F992" s="22">
        <f t="shared" ref="F992:R992" si="433">SUM(F989:F991)</f>
        <v>33188.06</v>
      </c>
      <c r="G992" s="22">
        <f t="shared" si="433"/>
        <v>32938.06</v>
      </c>
      <c r="H992" s="22">
        <f t="shared" si="433"/>
        <v>31875.54</v>
      </c>
      <c r="I992" s="22">
        <f t="shared" si="433"/>
        <v>32938.06</v>
      </c>
      <c r="J992" s="22">
        <f t="shared" si="433"/>
        <v>31875.54</v>
      </c>
      <c r="K992" s="22">
        <f t="shared" si="433"/>
        <v>41013.49</v>
      </c>
      <c r="L992" s="22">
        <f t="shared" si="433"/>
        <v>41013.49</v>
      </c>
      <c r="M992" s="22">
        <f t="shared" si="433"/>
        <v>41013.49</v>
      </c>
      <c r="N992" s="22">
        <f t="shared" si="433"/>
        <v>41013.49</v>
      </c>
      <c r="O992" s="119">
        <f t="shared" si="433"/>
        <v>41013.5</v>
      </c>
      <c r="P992" s="22">
        <f t="shared" si="433"/>
        <v>41013.490000000005</v>
      </c>
      <c r="Q992" s="22">
        <f t="shared" si="433"/>
        <v>41013.490000000005</v>
      </c>
      <c r="R992" s="22">
        <f t="shared" si="433"/>
        <v>449909.69999999995</v>
      </c>
      <c r="T992" s="39">
        <f>SUM(T989:T991)</f>
        <v>162815.26</v>
      </c>
      <c r="U992" s="78">
        <f>SUM(U989:U991)</f>
        <v>287094.44</v>
      </c>
      <c r="V992" s="11">
        <f>SUM(T992:U992)-R992</f>
        <v>0</v>
      </c>
    </row>
    <row r="993" spans="1:57" x14ac:dyDescent="0.3">
      <c r="E993" s="15"/>
      <c r="O993" s="118"/>
    </row>
    <row r="994" spans="1:57" s="66" customFormat="1" ht="15.5" x14ac:dyDescent="0.35">
      <c r="B994" s="89">
        <v>9</v>
      </c>
      <c r="C994" s="67">
        <v>126</v>
      </c>
      <c r="D994" s="68"/>
      <c r="E994" s="69" t="s">
        <v>476</v>
      </c>
      <c r="F994" s="71"/>
      <c r="G994" s="71"/>
      <c r="H994" s="71"/>
      <c r="I994" s="71"/>
      <c r="J994" s="71"/>
      <c r="K994" s="71"/>
      <c r="L994" s="71"/>
      <c r="M994" s="71"/>
      <c r="N994" s="71"/>
      <c r="O994" s="123"/>
      <c r="P994" s="71"/>
      <c r="Q994" s="71"/>
      <c r="R994" s="71"/>
      <c r="T994" s="71"/>
      <c r="U994" s="95"/>
    </row>
    <row r="995" spans="1:57" s="66" customFormat="1" x14ac:dyDescent="0.3">
      <c r="B995">
        <v>9.1</v>
      </c>
      <c r="C995" s="67"/>
      <c r="D995" s="68"/>
      <c r="E995" s="72" t="s">
        <v>8</v>
      </c>
      <c r="F995" s="71"/>
      <c r="G995" s="71"/>
      <c r="H995" s="71"/>
      <c r="I995" s="65">
        <v>2324.09</v>
      </c>
      <c r="J995" s="65">
        <v>2324.09</v>
      </c>
      <c r="K995" s="3">
        <f>IF($B$994=12,'payment summary to Trustee'!$AW995,('payment summary to Trustee'!$BD995-'CDE Intercept  '!$T995)/4)</f>
        <v>4067.1575000000003</v>
      </c>
      <c r="L995" s="3">
        <f>IF($B$994=12,'payment summary to Trustee'!$AW995,('payment summary to Trustee'!$BD995-'CDE Intercept  '!$T995)/4)</f>
        <v>4067.1575000000003</v>
      </c>
      <c r="M995" s="3">
        <f>IF($B$994=12,'payment summary to Trustee'!$AW995,('payment summary to Trustee'!$BD995-'CDE Intercept  '!$T995)/4)</f>
        <v>4067.1575000000003</v>
      </c>
      <c r="N995" s="3">
        <v>0</v>
      </c>
      <c r="O995" s="118">
        <f>IF($B$994=12,'payment summary to Trustee'!$AW995,('payment summary to Trustee'!$BD995-'CDE Intercept  '!$T995)/4)</f>
        <v>4067.1575000000003</v>
      </c>
      <c r="P995" s="3">
        <v>0</v>
      </c>
      <c r="Q995" s="65">
        <v>0</v>
      </c>
      <c r="R995" s="65">
        <f>SUM(F995:Q995)</f>
        <v>20916.810000000005</v>
      </c>
      <c r="T995" s="3">
        <f>SUM(F995:J995)</f>
        <v>4648.18</v>
      </c>
      <c r="U995" s="93">
        <f>SUM(K995:Q995)</f>
        <v>16268.630000000001</v>
      </c>
      <c r="V995" s="11">
        <f>SUM(T995:U995)-R995</f>
        <v>0</v>
      </c>
    </row>
    <row r="996" spans="1:57" s="66" customFormat="1" x14ac:dyDescent="0.3">
      <c r="B996">
        <v>9.1999999999999993</v>
      </c>
      <c r="C996" s="67"/>
      <c r="D996" s="68"/>
      <c r="E996" s="72" t="s">
        <v>9</v>
      </c>
      <c r="F996" s="71"/>
      <c r="G996" s="71"/>
      <c r="H996" s="71"/>
      <c r="I996" s="65">
        <v>229.17</v>
      </c>
      <c r="J996" s="65">
        <v>0</v>
      </c>
      <c r="K996" s="3">
        <f>IF($B$994=12,'payment summary to Trustee'!$AW996,('payment summary to Trustee'!$BD996-'CDE Intercept  '!$T996)/4)</f>
        <v>0</v>
      </c>
      <c r="L996" s="3">
        <f>IF($B$994=12,'payment summary to Trustee'!$AW996,('payment summary to Trustee'!$BD996-'CDE Intercept  '!$T996)/4)</f>
        <v>0</v>
      </c>
      <c r="M996" s="3">
        <f>IF($B$994=12,'payment summary to Trustee'!$AW996,('payment summary to Trustee'!$BD996-'CDE Intercept  '!$T996)/4)</f>
        <v>0</v>
      </c>
      <c r="N996" s="3">
        <v>0</v>
      </c>
      <c r="O996" s="118">
        <f>IF($B$994=12,'payment summary to Trustee'!$AW996,('payment summary to Trustee'!$BD996-'CDE Intercept  '!$T996)/4)</f>
        <v>0</v>
      </c>
      <c r="P996" s="3">
        <v>0</v>
      </c>
      <c r="Q996" s="65">
        <v>0</v>
      </c>
      <c r="R996" s="65">
        <f>SUM(F996:Q996)</f>
        <v>229.17</v>
      </c>
      <c r="T996" s="3">
        <f t="shared" ref="T996:T997" si="434">SUM(F996:J996)</f>
        <v>229.17</v>
      </c>
      <c r="U996" s="93">
        <f>SUM(K996:Q996)</f>
        <v>0</v>
      </c>
      <c r="V996" s="11">
        <f>SUM(T996:U996)-R996</f>
        <v>0</v>
      </c>
    </row>
    <row r="997" spans="1:57" s="66" customFormat="1" ht="13.5" thickBot="1" x14ac:dyDescent="0.35">
      <c r="A997" s="66" t="s">
        <v>477</v>
      </c>
      <c r="B997">
        <v>9.3000000000000007</v>
      </c>
      <c r="C997" s="67"/>
      <c r="D997" s="68"/>
      <c r="E997" s="72" t="s">
        <v>10</v>
      </c>
      <c r="F997" s="71"/>
      <c r="G997" s="71"/>
      <c r="H997" s="71"/>
      <c r="I997" s="65">
        <f>35555.56+109809.68</f>
        <v>145365.24</v>
      </c>
      <c r="J997" s="65">
        <f>35555.56+109809.68</f>
        <v>145365.24</v>
      </c>
      <c r="K997" s="3">
        <f>IF($B$994=12,'payment summary to Trustee'!$AW997,('payment summary to Trustee'!$BD997-'CDE Intercept  '!$T997)/4)</f>
        <v>232216.04500000004</v>
      </c>
      <c r="L997" s="3">
        <f>IF($B$994=12,'payment summary to Trustee'!$AW997,('payment summary to Trustee'!$BD997-'CDE Intercept  '!$T997)/4)</f>
        <v>232216.04500000004</v>
      </c>
      <c r="M997" s="3">
        <f>IF($B$994=12,'payment summary to Trustee'!$AW997,('payment summary to Trustee'!$BD997-'CDE Intercept  '!$T997)/4)</f>
        <v>232216.04500000004</v>
      </c>
      <c r="N997" s="3">
        <v>0</v>
      </c>
      <c r="O997" s="118">
        <f>IF($B$994=12,'payment summary to Trustee'!$AW997,('payment summary to Trustee'!$BD997-'CDE Intercept  '!$T997)/4)</f>
        <v>232216.04500000004</v>
      </c>
      <c r="P997" s="3">
        <v>0</v>
      </c>
      <c r="Q997" s="65">
        <v>0</v>
      </c>
      <c r="R997" s="65">
        <f>SUM(F997:Q997)</f>
        <v>1219594.6600000001</v>
      </c>
      <c r="T997" s="3">
        <f t="shared" si="434"/>
        <v>290730.48</v>
      </c>
      <c r="U997" s="94">
        <f>SUM(K997:Q997)</f>
        <v>928864.18000000017</v>
      </c>
      <c r="V997" s="11">
        <f>SUM(T997:U997)-R997</f>
        <v>0</v>
      </c>
    </row>
    <row r="998" spans="1:57" s="66" customFormat="1" ht="13.5" thickBot="1" x14ac:dyDescent="0.35">
      <c r="B998"/>
      <c r="C998" s="67"/>
      <c r="D998" s="68"/>
      <c r="E998" s="73" t="s">
        <v>478</v>
      </c>
      <c r="F998" s="71"/>
      <c r="G998" s="71"/>
      <c r="H998" s="71"/>
      <c r="I998" s="74">
        <f t="shared" ref="I998:R998" si="435">SUM(I995:I997)</f>
        <v>147918.5</v>
      </c>
      <c r="J998" s="74">
        <f t="shared" si="435"/>
        <v>147689.32999999999</v>
      </c>
      <c r="K998" s="74">
        <f t="shared" si="435"/>
        <v>236283.20250000004</v>
      </c>
      <c r="L998" s="74">
        <f t="shared" si="435"/>
        <v>236283.20250000004</v>
      </c>
      <c r="M998" s="74">
        <f t="shared" si="435"/>
        <v>236283.20250000004</v>
      </c>
      <c r="N998" s="74">
        <f t="shared" si="435"/>
        <v>0</v>
      </c>
      <c r="O998" s="124">
        <f t="shared" si="435"/>
        <v>236283.20250000004</v>
      </c>
      <c r="P998" s="74">
        <f t="shared" ref="P998" si="436">SUM(P995:P997)</f>
        <v>0</v>
      </c>
      <c r="Q998" s="74">
        <f t="shared" si="435"/>
        <v>0</v>
      </c>
      <c r="R998" s="74">
        <f t="shared" si="435"/>
        <v>1240740.6400000001</v>
      </c>
      <c r="T998" s="39">
        <f>SUM(T995:T997)</f>
        <v>295607.82999999996</v>
      </c>
      <c r="U998" s="78">
        <f>SUM(U995:U997)</f>
        <v>945132.81000000017</v>
      </c>
      <c r="V998" s="11">
        <f>SUM(T998:U998)-R998</f>
        <v>0</v>
      </c>
    </row>
    <row r="999" spans="1:57" s="66" customFormat="1" x14ac:dyDescent="0.3">
      <c r="C999" s="67"/>
      <c r="D999" s="68"/>
      <c r="E999" s="76"/>
      <c r="F999" s="71"/>
      <c r="G999" s="71"/>
      <c r="H999" s="71"/>
      <c r="I999" s="71"/>
      <c r="J999" s="71"/>
      <c r="K999" s="71"/>
      <c r="L999" s="71"/>
      <c r="M999" s="71"/>
      <c r="N999" s="71"/>
      <c r="O999" s="123"/>
      <c r="P999" s="71"/>
      <c r="Q999" s="71"/>
      <c r="R999" s="71"/>
      <c r="T999" s="71"/>
      <c r="U999" s="95"/>
    </row>
    <row r="1000" spans="1:57" s="66" customFormat="1" ht="15.5" x14ac:dyDescent="0.35">
      <c r="A1000" s="66" t="s">
        <v>915</v>
      </c>
      <c r="B1000" s="89">
        <v>12</v>
      </c>
      <c r="C1000" s="67">
        <v>127</v>
      </c>
      <c r="D1000" s="68"/>
      <c r="E1000" s="69" t="s">
        <v>916</v>
      </c>
      <c r="F1000" s="65"/>
      <c r="G1000" s="65"/>
      <c r="H1000" s="65"/>
      <c r="I1000" s="65"/>
      <c r="J1000" s="65"/>
      <c r="K1000" s="65"/>
      <c r="L1000" s="65"/>
      <c r="M1000" s="65"/>
      <c r="N1000" s="65"/>
      <c r="O1000" s="121"/>
      <c r="P1000" s="65"/>
      <c r="Q1000" s="65"/>
      <c r="R1000" s="65"/>
      <c r="T1000" s="65"/>
      <c r="U1000" s="95"/>
    </row>
    <row r="1001" spans="1:57" s="66" customFormat="1" x14ac:dyDescent="0.3">
      <c r="B1001">
        <v>12.1</v>
      </c>
      <c r="C1001" s="67"/>
      <c r="D1001" s="68"/>
      <c r="E1001" s="72" t="s">
        <v>8</v>
      </c>
      <c r="F1001" s="65"/>
      <c r="G1001" s="65"/>
      <c r="H1001" s="65"/>
      <c r="I1001" s="65"/>
      <c r="J1001" s="65"/>
      <c r="K1001" s="65">
        <v>0</v>
      </c>
      <c r="L1001" s="65">
        <v>0</v>
      </c>
      <c r="M1001" s="65">
        <v>0</v>
      </c>
      <c r="N1001" s="65">
        <v>0</v>
      </c>
      <c r="O1001" s="121">
        <v>0</v>
      </c>
      <c r="P1001" s="65">
        <v>0</v>
      </c>
      <c r="Q1001" s="65">
        <v>0</v>
      </c>
      <c r="R1001" s="65">
        <f>SUM(F1001:Q1001)</f>
        <v>0</v>
      </c>
      <c r="T1001" s="3">
        <f>SUM(F1001:J1001)</f>
        <v>0</v>
      </c>
      <c r="U1001" s="93">
        <f>SUM(K1001:Q1001)</f>
        <v>0</v>
      </c>
      <c r="V1001" s="11">
        <f>SUM(T1001:U1001)-R1001</f>
        <v>0</v>
      </c>
    </row>
    <row r="1002" spans="1:57" s="66" customFormat="1" x14ac:dyDescent="0.3">
      <c r="B1002">
        <v>12.2</v>
      </c>
      <c r="C1002" s="67"/>
      <c r="D1002" s="68"/>
      <c r="E1002" s="72" t="s">
        <v>9</v>
      </c>
      <c r="F1002" s="65"/>
      <c r="G1002" s="65"/>
      <c r="H1002" s="65"/>
      <c r="I1002" s="65"/>
      <c r="J1002" s="65"/>
      <c r="K1002" s="65">
        <v>93.84</v>
      </c>
      <c r="L1002" s="65">
        <v>0</v>
      </c>
      <c r="M1002" s="65">
        <v>0</v>
      </c>
      <c r="N1002" s="65">
        <v>0</v>
      </c>
      <c r="O1002" s="121">
        <v>0</v>
      </c>
      <c r="P1002" s="65">
        <v>0</v>
      </c>
      <c r="Q1002" s="65">
        <v>0</v>
      </c>
      <c r="R1002" s="65">
        <f>SUM(F1002:Q1002)</f>
        <v>93.84</v>
      </c>
      <c r="T1002" s="3">
        <f t="shared" ref="T1002:T1003" si="437">SUM(F1002:J1002)</f>
        <v>0</v>
      </c>
      <c r="U1002" s="93">
        <f>SUM(K1002:Q1002)</f>
        <v>93.84</v>
      </c>
      <c r="V1002" s="11">
        <f>SUM(T1002:U1002)-R1002</f>
        <v>0</v>
      </c>
    </row>
    <row r="1003" spans="1:57" s="66" customFormat="1" ht="13.5" thickBot="1" x14ac:dyDescent="0.35">
      <c r="B1003">
        <v>12.3</v>
      </c>
      <c r="C1003" s="67"/>
      <c r="D1003" s="68"/>
      <c r="E1003" s="72" t="s">
        <v>10</v>
      </c>
      <c r="F1003" s="65"/>
      <c r="G1003" s="65"/>
      <c r="H1003" s="65"/>
      <c r="I1003" s="65"/>
      <c r="J1003" s="65"/>
      <c r="K1003" s="65">
        <v>152830</v>
      </c>
      <c r="L1003" s="65">
        <v>76415</v>
      </c>
      <c r="M1003" s="65">
        <v>69020</v>
      </c>
      <c r="N1003" s="65">
        <v>76415</v>
      </c>
      <c r="O1003" s="121">
        <v>73950</v>
      </c>
      <c r="P1003" s="65">
        <v>76415</v>
      </c>
      <c r="Q1003" s="65">
        <v>73950</v>
      </c>
      <c r="R1003" s="65">
        <f>SUM(F1003:Q1003)</f>
        <v>598995</v>
      </c>
      <c r="T1003" s="3">
        <f t="shared" si="437"/>
        <v>0</v>
      </c>
      <c r="U1003" s="94">
        <f>SUM(K1003:Q1003)</f>
        <v>598995</v>
      </c>
      <c r="V1003" s="11">
        <f>SUM(T1003:U1003)-R1003</f>
        <v>0</v>
      </c>
    </row>
    <row r="1004" spans="1:57" s="66" customFormat="1" ht="13.5" thickBot="1" x14ac:dyDescent="0.35">
      <c r="B1004"/>
      <c r="C1004" s="67"/>
      <c r="D1004" s="68"/>
      <c r="E1004" s="73" t="s">
        <v>270</v>
      </c>
      <c r="F1004" s="65"/>
      <c r="G1004" s="65"/>
      <c r="H1004" s="65"/>
      <c r="I1004" s="65"/>
      <c r="J1004" s="65"/>
      <c r="K1004" s="74">
        <f>SUM(K1001:K1003)</f>
        <v>152923.84</v>
      </c>
      <c r="L1004" s="74">
        <f t="shared" ref="L1004:R1004" si="438">SUM(L1001:L1003)</f>
        <v>76415</v>
      </c>
      <c r="M1004" s="74">
        <f t="shared" si="438"/>
        <v>69020</v>
      </c>
      <c r="N1004" s="74">
        <f t="shared" si="438"/>
        <v>76415</v>
      </c>
      <c r="O1004" s="124">
        <f t="shared" si="438"/>
        <v>73950</v>
      </c>
      <c r="P1004" s="74">
        <f t="shared" si="438"/>
        <v>76415</v>
      </c>
      <c r="Q1004" s="74">
        <f t="shared" si="438"/>
        <v>73950</v>
      </c>
      <c r="R1004" s="74">
        <f t="shared" si="438"/>
        <v>599088.84</v>
      </c>
      <c r="T1004" s="39">
        <f>SUM(T1001:T1003)</f>
        <v>0</v>
      </c>
      <c r="U1004" s="78">
        <f>SUM(U1001:U1003)</f>
        <v>599088.84</v>
      </c>
      <c r="V1004" s="11">
        <f>SUM(T1004:U1004)-R1004</f>
        <v>0</v>
      </c>
    </row>
    <row r="1005" spans="1:57" s="66" customFormat="1" x14ac:dyDescent="0.3">
      <c r="B1005"/>
      <c r="C1005" s="67"/>
      <c r="D1005" s="68"/>
      <c r="E1005" s="76"/>
      <c r="F1005" s="65"/>
      <c r="G1005" s="65"/>
      <c r="H1005" s="65"/>
      <c r="I1005" s="65"/>
      <c r="J1005" s="65"/>
      <c r="K1005" s="71"/>
      <c r="L1005" s="71"/>
      <c r="M1005" s="71"/>
      <c r="N1005" s="71"/>
      <c r="O1005" s="123"/>
      <c r="P1005" s="71"/>
      <c r="Q1005" s="71"/>
      <c r="R1005" s="71"/>
      <c r="T1005" s="39"/>
      <c r="U1005" s="79"/>
      <c r="V1005" s="11"/>
    </row>
    <row r="1006" spans="1:57" s="66" customFormat="1" ht="15.5" x14ac:dyDescent="0.35">
      <c r="A1006" s="66" t="s">
        <v>910</v>
      </c>
      <c r="B1006" s="89">
        <v>9</v>
      </c>
      <c r="C1006" s="67">
        <v>128</v>
      </c>
      <c r="D1006" s="68"/>
      <c r="E1006" s="69" t="s">
        <v>917</v>
      </c>
      <c r="F1006" s="70"/>
      <c r="G1006" s="70"/>
      <c r="H1006" s="70"/>
      <c r="I1006" s="70"/>
      <c r="J1006" s="70"/>
      <c r="K1006" s="70"/>
      <c r="L1006" s="70"/>
      <c r="M1006" s="70"/>
      <c r="N1006" s="70"/>
      <c r="O1006" s="125"/>
      <c r="P1006" s="70"/>
      <c r="Q1006" s="70"/>
      <c r="R1006" s="70"/>
      <c r="AR1006" s="65"/>
      <c r="AS1006" s="65"/>
      <c r="AT1006" s="65"/>
      <c r="AU1006" s="65"/>
      <c r="AV1006" s="65"/>
      <c r="AW1006" s="65"/>
      <c r="AX1006" s="71"/>
      <c r="AY1006" s="71"/>
      <c r="AZ1006" s="71"/>
      <c r="BA1006" s="71"/>
      <c r="BB1006" s="71"/>
      <c r="BC1006" s="71"/>
      <c r="BD1006" s="71"/>
      <c r="BE1006" s="71"/>
    </row>
    <row r="1007" spans="1:57" s="66" customFormat="1" x14ac:dyDescent="0.3">
      <c r="B1007">
        <v>9.1</v>
      </c>
      <c r="C1007" s="67"/>
      <c r="D1007" s="68"/>
      <c r="E1007" s="72" t="s">
        <v>8</v>
      </c>
      <c r="F1007" s="70"/>
      <c r="G1007" s="70"/>
      <c r="H1007" s="70"/>
      <c r="I1007" s="70"/>
      <c r="J1007" s="70"/>
      <c r="K1007" s="3">
        <f>IF($B$1006=12,'payment summary to Trustee'!$AW1007,('payment summary to Trustee'!$BD1007-'CDE Intercept  '!$T1007)/4)</f>
        <v>973.6350000000001</v>
      </c>
      <c r="L1007" s="3">
        <f>IF($B$1006=12,'payment summary to Trustee'!$AW1007,('payment summary to Trustee'!$BD1007-'CDE Intercept  '!$T1007)/4)</f>
        <v>973.6350000000001</v>
      </c>
      <c r="M1007" s="3">
        <f>IF($B$1006=12,'payment summary to Trustee'!$AW1007,('payment summary to Trustee'!$BD1007-'CDE Intercept  '!$T1007)/4)</f>
        <v>973.6350000000001</v>
      </c>
      <c r="N1007" s="3">
        <v>0</v>
      </c>
      <c r="O1007" s="118">
        <f>IF($B$1006=12,'payment summary to Trustee'!$AW1007,('payment summary to Trustee'!$BD1007-'CDE Intercept  '!$T1007)/4)</f>
        <v>973.6350000000001</v>
      </c>
      <c r="P1007" s="3">
        <v>0</v>
      </c>
      <c r="Q1007" s="109">
        <v>0</v>
      </c>
      <c r="R1007" s="65">
        <f>SUM(F1007:Q1007)</f>
        <v>3894.5400000000004</v>
      </c>
      <c r="T1007" s="3">
        <f>SUM(F1007:J1007)</f>
        <v>0</v>
      </c>
      <c r="U1007" s="93">
        <f>SUM(K1007:Q1007)</f>
        <v>3894.5400000000004</v>
      </c>
      <c r="V1007" s="11">
        <f>SUM(T1007:U1007)-R1007</f>
        <v>0</v>
      </c>
      <c r="AR1007" s="65"/>
      <c r="AS1007" s="65"/>
      <c r="AT1007" s="65"/>
      <c r="AU1007" s="65"/>
      <c r="AV1007" s="65"/>
      <c r="AW1007" s="65"/>
      <c r="AX1007" s="71"/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v>649.09</v>
      </c>
      <c r="BE1007" s="65">
        <f>SUM(AS1007:BD1007)</f>
        <v>3894.5400000000004</v>
      </c>
    </row>
    <row r="1008" spans="1:57" s="66" customFormat="1" x14ac:dyDescent="0.3">
      <c r="B1008">
        <v>9.1999999999999993</v>
      </c>
      <c r="C1008" s="67"/>
      <c r="D1008" s="68"/>
      <c r="E1008" s="72" t="s">
        <v>9</v>
      </c>
      <c r="F1008" s="70"/>
      <c r="G1008" s="70"/>
      <c r="H1008" s="70"/>
      <c r="I1008" s="70"/>
      <c r="J1008" s="70"/>
      <c r="K1008" s="3">
        <v>125</v>
      </c>
      <c r="L1008" s="3">
        <v>0</v>
      </c>
      <c r="M1008" s="3">
        <v>0</v>
      </c>
      <c r="N1008" s="3">
        <v>0</v>
      </c>
      <c r="O1008" s="118">
        <v>0</v>
      </c>
      <c r="P1008" s="3">
        <v>0</v>
      </c>
      <c r="Q1008" s="109">
        <v>0</v>
      </c>
      <c r="R1008" s="65">
        <f>SUM(F1008:Q1008)</f>
        <v>125</v>
      </c>
      <c r="T1008" s="3">
        <f t="shared" ref="T1008:T1009" si="439">SUM(F1008:J1008)</f>
        <v>0</v>
      </c>
      <c r="U1008" s="93">
        <f>SUM(K1008:Q1008)</f>
        <v>125</v>
      </c>
      <c r="V1008" s="11">
        <f>SUM(T1008:U1008)-R1008</f>
        <v>0</v>
      </c>
      <c r="AR1008" s="65"/>
      <c r="AS1008" s="65"/>
      <c r="AT1008" s="65"/>
      <c r="AU1008" s="65"/>
      <c r="AV1008" s="65"/>
      <c r="AW1008" s="65"/>
      <c r="AX1008" s="71"/>
      <c r="AY1008" s="65">
        <v>125</v>
      </c>
      <c r="AZ1008" s="65">
        <v>0</v>
      </c>
      <c r="BA1008" s="65">
        <v>0</v>
      </c>
      <c r="BB1008" s="65">
        <v>0</v>
      </c>
      <c r="BC1008" s="65">
        <v>0</v>
      </c>
      <c r="BD1008" s="65">
        <v>0</v>
      </c>
      <c r="BE1008" s="65">
        <f>SUM(AS1008:BD1008)</f>
        <v>125</v>
      </c>
    </row>
    <row r="1009" spans="1:57" s="66" customFormat="1" ht="13.5" thickBot="1" x14ac:dyDescent="0.35">
      <c r="B1009">
        <v>9.3000000000000007</v>
      </c>
      <c r="C1009" s="67"/>
      <c r="D1009" s="68"/>
      <c r="E1009" s="72" t="s">
        <v>10</v>
      </c>
      <c r="F1009" s="70"/>
      <c r="G1009" s="70"/>
      <c r="H1009" s="70"/>
      <c r="I1009" s="70"/>
      <c r="J1009" s="70"/>
      <c r="K1009" s="3">
        <f>IF($B$1006=12,'payment summary to Trustee'!$AW1009,('payment summary to Trustee'!$BD1009-'CDE Intercept  '!$T1009)/4)</f>
        <v>26821.46</v>
      </c>
      <c r="L1009" s="3">
        <f>IF($B$1006=12,'payment summary to Trustee'!$AW1009,('payment summary to Trustee'!$BD1009-'CDE Intercept  '!$T1009)/4)</f>
        <v>26821.46</v>
      </c>
      <c r="M1009" s="3">
        <f>IF($B$1006=12,'payment summary to Trustee'!$AW1009,('payment summary to Trustee'!$BD1009-'CDE Intercept  '!$T1009)/4)</f>
        <v>26821.46</v>
      </c>
      <c r="N1009" s="3">
        <v>0</v>
      </c>
      <c r="O1009" s="118">
        <f>IF($B$1006=12,'payment summary to Trustee'!$AW1009,('payment summary to Trustee'!$BD1009-'CDE Intercept  '!$T1009)/4)</f>
        <v>26821.46</v>
      </c>
      <c r="P1009" s="3">
        <v>0</v>
      </c>
      <c r="Q1009" s="109">
        <v>0</v>
      </c>
      <c r="R1009" s="65">
        <f>SUM(F1009:Q1009)</f>
        <v>107285.84</v>
      </c>
      <c r="T1009" s="3">
        <f t="shared" si="439"/>
        <v>0</v>
      </c>
      <c r="U1009" s="94">
        <f>SUM(K1009:Q1009)</f>
        <v>107285.84</v>
      </c>
      <c r="V1009" s="11">
        <f>SUM(T1009:U1009)-R1009</f>
        <v>0</v>
      </c>
      <c r="AR1009" s="65"/>
      <c r="AS1009" s="65"/>
      <c r="AT1009" s="65"/>
      <c r="AU1009" s="65"/>
      <c r="AV1009" s="65"/>
      <c r="AW1009" s="65"/>
      <c r="AX1009" s="71"/>
      <c r="AY1009" s="65">
        <v>0</v>
      </c>
      <c r="AZ1009" s="65">
        <v>0</v>
      </c>
      <c r="BA1009" s="65">
        <v>26821.46</v>
      </c>
      <c r="BB1009" s="65">
        <v>26821.46</v>
      </c>
      <c r="BC1009" s="65">
        <v>26821.46</v>
      </c>
      <c r="BD1009" s="65">
        <v>26821.46</v>
      </c>
      <c r="BE1009" s="65">
        <f>SUM(AS1009:BD1009)</f>
        <v>107285.84</v>
      </c>
    </row>
    <row r="1010" spans="1:57" s="66" customFormat="1" ht="13.5" thickBot="1" x14ac:dyDescent="0.35">
      <c r="C1010" s="67"/>
      <c r="D1010" s="68"/>
      <c r="E1010" s="73" t="s">
        <v>70</v>
      </c>
      <c r="F1010" s="70"/>
      <c r="G1010" s="70"/>
      <c r="H1010" s="70"/>
      <c r="I1010" s="70"/>
      <c r="J1010" s="70"/>
      <c r="K1010" s="74">
        <f>SUM(K1007:K1009)</f>
        <v>27920.095000000001</v>
      </c>
      <c r="L1010" s="74">
        <f t="shared" ref="L1010:R1010" si="440">SUM(L1007:L1009)</f>
        <v>27795.094999999998</v>
      </c>
      <c r="M1010" s="74">
        <f t="shared" si="440"/>
        <v>27795.094999999998</v>
      </c>
      <c r="N1010" s="74">
        <f t="shared" si="440"/>
        <v>0</v>
      </c>
      <c r="O1010" s="124">
        <f t="shared" si="440"/>
        <v>27795.094999999998</v>
      </c>
      <c r="P1010" s="74">
        <f t="shared" ref="P1010" si="441">SUM(P1007:P1009)</f>
        <v>0</v>
      </c>
      <c r="Q1010" s="74">
        <f t="shared" si="440"/>
        <v>0</v>
      </c>
      <c r="R1010" s="74">
        <f t="shared" si="440"/>
        <v>111305.37999999999</v>
      </c>
      <c r="T1010" s="39">
        <f>SUM(T1007:T1009)</f>
        <v>0</v>
      </c>
      <c r="U1010" s="78">
        <f>SUM(U1007:U1009)</f>
        <v>111305.37999999999</v>
      </c>
      <c r="V1010" s="11">
        <f>SUM(T1010:U1010)-R1010</f>
        <v>0</v>
      </c>
      <c r="AR1010" s="65"/>
      <c r="AS1010" s="65"/>
      <c r="AT1010" s="65"/>
      <c r="AU1010" s="65"/>
      <c r="AV1010" s="65"/>
      <c r="AW1010" s="65"/>
      <c r="AX1010" s="71"/>
      <c r="AY1010" s="74">
        <f t="shared" ref="AY1010:BE1010" si="442">SUM(AY1007:AY1009)</f>
        <v>774.09</v>
      </c>
      <c r="AZ1010" s="74">
        <f t="shared" si="442"/>
        <v>649.09</v>
      </c>
      <c r="BA1010" s="74">
        <f t="shared" si="442"/>
        <v>27470.55</v>
      </c>
      <c r="BB1010" s="74">
        <f t="shared" si="442"/>
        <v>27470.55</v>
      </c>
      <c r="BC1010" s="74">
        <f t="shared" si="442"/>
        <v>27470.55</v>
      </c>
      <c r="BD1010" s="74">
        <f t="shared" si="442"/>
        <v>27470.55</v>
      </c>
      <c r="BE1010" s="74">
        <f t="shared" si="442"/>
        <v>111305.37999999999</v>
      </c>
    </row>
    <row r="1011" spans="1:57" s="66" customFormat="1" x14ac:dyDescent="0.3">
      <c r="B1011"/>
      <c r="C1011" s="67"/>
      <c r="D1011" s="68"/>
      <c r="E1011" s="76"/>
      <c r="F1011" s="65"/>
      <c r="G1011" s="65"/>
      <c r="H1011" s="65"/>
      <c r="I1011" s="65"/>
      <c r="J1011" s="65"/>
      <c r="K1011" s="71"/>
      <c r="L1011" s="71"/>
      <c r="M1011" s="71"/>
      <c r="N1011" s="71"/>
      <c r="O1011" s="123"/>
      <c r="P1011" s="71"/>
      <c r="Q1011" s="71"/>
      <c r="R1011" s="71"/>
      <c r="T1011" s="39"/>
      <c r="U1011" s="79"/>
      <c r="V1011" s="11"/>
    </row>
    <row r="1012" spans="1:57" s="66" customFormat="1" ht="15.5" x14ac:dyDescent="0.35">
      <c r="B1012" s="89">
        <v>9</v>
      </c>
      <c r="C1012" s="67">
        <f>+C1006+1</f>
        <v>129</v>
      </c>
      <c r="D1012" s="68"/>
      <c r="E1012" s="69" t="s">
        <v>912</v>
      </c>
      <c r="F1012" s="70"/>
      <c r="G1012" s="70"/>
      <c r="H1012" s="70"/>
      <c r="I1012" s="70"/>
      <c r="J1012" s="70"/>
      <c r="K1012" s="70"/>
      <c r="L1012" s="70"/>
      <c r="M1012" s="70"/>
      <c r="N1012" s="70"/>
      <c r="O1012" s="125"/>
      <c r="P1012" s="70"/>
      <c r="Q1012" s="70"/>
      <c r="R1012" s="70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  <c r="BE1012" s="65"/>
    </row>
    <row r="1013" spans="1:57" s="66" customFormat="1" x14ac:dyDescent="0.3">
      <c r="B1013">
        <v>9.1</v>
      </c>
      <c r="C1013" s="67"/>
      <c r="D1013" s="68"/>
      <c r="E1013" s="72" t="s">
        <v>8</v>
      </c>
      <c r="F1013" s="70"/>
      <c r="G1013" s="70"/>
      <c r="H1013" s="70"/>
      <c r="I1013" s="70"/>
      <c r="J1013" s="70"/>
      <c r="K1013" s="70"/>
      <c r="L1013" s="3">
        <f>IF($B$1012=12,'payment summary to Trustee'!$AX1013,('payment summary to Trustee'!$BD1013-'CDE Intercept  '!$T1013)/3)</f>
        <v>12788.18</v>
      </c>
      <c r="M1013" s="3">
        <f>IF($B$1012=12,'payment summary to Trustee'!$AX1013,('payment summary to Trustee'!$BD1013-'CDE Intercept  '!$T1013)/3)</f>
        <v>12788.18</v>
      </c>
      <c r="N1013" s="3">
        <v>0</v>
      </c>
      <c r="O1013" s="118">
        <f>IF($B$1012=12,'payment summary to Trustee'!$AX1013,('payment summary to Trustee'!$BD1013-'CDE Intercept  '!$T1013)/3)</f>
        <v>12788.18</v>
      </c>
      <c r="P1013" s="3">
        <v>0</v>
      </c>
      <c r="Q1013" s="65">
        <v>0</v>
      </c>
      <c r="R1013" s="65">
        <f>SUM(F1013:Q1013)</f>
        <v>38364.54</v>
      </c>
      <c r="T1013" s="3">
        <f>SUM(F1013:J1013)</f>
        <v>0</v>
      </c>
      <c r="U1013" s="93">
        <f>SUM(K1013:Q1013)</f>
        <v>38364.54</v>
      </c>
      <c r="V1013" s="11">
        <f>SUM(T1013:U1013)-R1013</f>
        <v>0</v>
      </c>
      <c r="AR1013" s="65"/>
      <c r="AS1013" s="65"/>
      <c r="AT1013" s="65"/>
      <c r="AU1013" s="65"/>
      <c r="AV1013" s="65"/>
      <c r="AW1013" s="65"/>
      <c r="AX1013" s="65"/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v>6394.09</v>
      </c>
      <c r="BE1013" s="65">
        <f>SUM(AS1013:BD1013)</f>
        <v>38364.54</v>
      </c>
    </row>
    <row r="1014" spans="1:57" s="66" customFormat="1" x14ac:dyDescent="0.3">
      <c r="B1014">
        <v>9.1999999999999993</v>
      </c>
      <c r="C1014" s="67"/>
      <c r="D1014" s="68"/>
      <c r="E1014" s="72" t="s">
        <v>9</v>
      </c>
      <c r="F1014" s="70"/>
      <c r="G1014" s="70"/>
      <c r="H1014" s="70"/>
      <c r="I1014" s="70"/>
      <c r="J1014" s="70"/>
      <c r="K1014" s="70"/>
      <c r="L1014" s="65">
        <v>125</v>
      </c>
      <c r="M1014" s="65">
        <v>0</v>
      </c>
      <c r="N1014" s="65">
        <v>0</v>
      </c>
      <c r="O1014" s="121">
        <v>0</v>
      </c>
      <c r="P1014" s="65">
        <v>0</v>
      </c>
      <c r="Q1014" s="65">
        <v>0</v>
      </c>
      <c r="R1014" s="65">
        <f>SUM(F1014:Q1014)</f>
        <v>125</v>
      </c>
      <c r="T1014" s="3">
        <f t="shared" ref="T1014:T1015" si="443">SUM(F1014:J1014)</f>
        <v>0</v>
      </c>
      <c r="U1014" s="93">
        <f>SUM(K1014:Q1014)</f>
        <v>125</v>
      </c>
      <c r="V1014" s="11">
        <f>SUM(T1014:U1014)-R1014</f>
        <v>0</v>
      </c>
      <c r="AR1014" s="65"/>
      <c r="AS1014" s="65"/>
      <c r="AT1014" s="65"/>
      <c r="AU1014" s="65"/>
      <c r="AV1014" s="65"/>
      <c r="AW1014" s="65"/>
      <c r="AX1014" s="65"/>
      <c r="AY1014" s="65">
        <v>125</v>
      </c>
      <c r="AZ1014" s="65">
        <v>0</v>
      </c>
      <c r="BA1014" s="65">
        <v>0</v>
      </c>
      <c r="BB1014" s="65">
        <v>0</v>
      </c>
      <c r="BC1014" s="65">
        <v>0</v>
      </c>
      <c r="BD1014" s="65">
        <v>0</v>
      </c>
      <c r="BE1014" s="65">
        <f>SUM(AS1014:BD1014)</f>
        <v>125</v>
      </c>
    </row>
    <row r="1015" spans="1:57" s="66" customFormat="1" ht="13.5" thickBot="1" x14ac:dyDescent="0.35">
      <c r="A1015" s="66" t="s">
        <v>913</v>
      </c>
      <c r="B1015">
        <v>9.3000000000000007</v>
      </c>
      <c r="C1015" s="67"/>
      <c r="D1015" s="68"/>
      <c r="E1015" s="72" t="s">
        <v>10</v>
      </c>
      <c r="F1015" s="70"/>
      <c r="G1015" s="70"/>
      <c r="H1015" s="70"/>
      <c r="I1015" s="70"/>
      <c r="J1015" s="70"/>
      <c r="K1015" s="70"/>
      <c r="L1015" s="3">
        <f>IF($B$1006=12,'payment summary to Trustee'!$AW1015,('payment summary to Trustee'!$BD1015-'CDE Intercept  '!$T1015)/3)</f>
        <v>610305.99333333329</v>
      </c>
      <c r="M1015" s="3">
        <f>IF($B$1006=12,'payment summary to Trustee'!$AW1015,('payment summary to Trustee'!$BD1015-'CDE Intercept  '!$T1015)/3)</f>
        <v>610305.99333333329</v>
      </c>
      <c r="N1015" s="3">
        <v>0</v>
      </c>
      <c r="O1015" s="118">
        <f>IF($B$1006=12,'payment summary to Trustee'!$AW1015,('payment summary to Trustee'!$BD1015-'CDE Intercept  '!$T1015)/3)+0.01</f>
        <v>610306.0033333333</v>
      </c>
      <c r="P1015" s="3">
        <v>0</v>
      </c>
      <c r="Q1015" s="65">
        <v>0</v>
      </c>
      <c r="R1015" s="65">
        <f>SUM(F1015:Q1015)</f>
        <v>1830917.9899999998</v>
      </c>
      <c r="T1015" s="3">
        <f t="shared" si="443"/>
        <v>0</v>
      </c>
      <c r="U1015" s="94">
        <f>SUM(K1015:Q1015)</f>
        <v>1830917.9899999998</v>
      </c>
      <c r="V1015" s="11">
        <f>SUM(T1015:U1015)-R1015</f>
        <v>0</v>
      </c>
      <c r="AR1015" s="65"/>
      <c r="AS1015" s="65"/>
      <c r="AT1015" s="65"/>
      <c r="AU1015" s="65"/>
      <c r="AV1015" s="65"/>
      <c r="AW1015" s="65"/>
      <c r="AX1015" s="65"/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305153</v>
      </c>
      <c r="BD1015" s="65">
        <v>305152.98</v>
      </c>
      <c r="BE1015" s="65">
        <f>SUM(AS1015:BD1015)</f>
        <v>1830917.98</v>
      </c>
    </row>
    <row r="1016" spans="1:57" s="66" customFormat="1" ht="13.5" thickBot="1" x14ac:dyDescent="0.35">
      <c r="C1016" s="67"/>
      <c r="D1016" s="68"/>
      <c r="E1016" s="73" t="s">
        <v>914</v>
      </c>
      <c r="F1016" s="70"/>
      <c r="G1016" s="70"/>
      <c r="H1016" s="70"/>
      <c r="I1016" s="70"/>
      <c r="J1016" s="70"/>
      <c r="K1016" s="70"/>
      <c r="L1016" s="74">
        <f t="shared" ref="L1016:R1016" si="444">SUM(L1013:L1015)</f>
        <v>623219.17333333334</v>
      </c>
      <c r="M1016" s="74">
        <f t="shared" si="444"/>
        <v>623094.17333333334</v>
      </c>
      <c r="N1016" s="74">
        <f t="shared" si="444"/>
        <v>0</v>
      </c>
      <c r="O1016" s="124">
        <f t="shared" si="444"/>
        <v>623094.18333333335</v>
      </c>
      <c r="P1016" s="74">
        <f t="shared" ref="P1016" si="445">SUM(P1013:P1015)</f>
        <v>0</v>
      </c>
      <c r="Q1016" s="74">
        <f t="shared" si="444"/>
        <v>0</v>
      </c>
      <c r="R1016" s="74">
        <f t="shared" si="444"/>
        <v>1869407.5299999998</v>
      </c>
      <c r="T1016" s="39">
        <f>SUM(T1013:T1015)</f>
        <v>0</v>
      </c>
      <c r="U1016" s="78">
        <f>SUM(U1013:U1015)</f>
        <v>1869407.5299999998</v>
      </c>
      <c r="V1016" s="11">
        <f>SUM(T1016:U1016)-R1016</f>
        <v>0</v>
      </c>
      <c r="AR1016" s="65"/>
      <c r="AS1016" s="65"/>
      <c r="AT1016" s="65"/>
      <c r="AU1016" s="65"/>
      <c r="AV1016" s="65"/>
      <c r="AW1016" s="65"/>
      <c r="AX1016" s="71"/>
      <c r="AY1016" s="74">
        <f t="shared" ref="AY1016:BE1016" si="446">SUM(AY1013:AY1015)</f>
        <v>311672.09000000003</v>
      </c>
      <c r="AZ1016" s="74">
        <f t="shared" si="446"/>
        <v>311547.09000000003</v>
      </c>
      <c r="BA1016" s="74">
        <f t="shared" si="446"/>
        <v>311547.09000000003</v>
      </c>
      <c r="BB1016" s="74">
        <f t="shared" si="446"/>
        <v>311547.09000000003</v>
      </c>
      <c r="BC1016" s="74">
        <f t="shared" si="446"/>
        <v>311547.09000000003</v>
      </c>
      <c r="BD1016" s="74">
        <f t="shared" si="446"/>
        <v>311547.07</v>
      </c>
      <c r="BE1016" s="74">
        <f t="shared" si="446"/>
        <v>1869407.52</v>
      </c>
    </row>
    <row r="1017" spans="1:57" s="66" customFormat="1" x14ac:dyDescent="0.3">
      <c r="B1017"/>
      <c r="C1017" s="67"/>
      <c r="D1017" s="68"/>
      <c r="E1017" s="76"/>
      <c r="F1017" s="65"/>
      <c r="G1017" s="65"/>
      <c r="H1017" s="65"/>
      <c r="I1017" s="65"/>
      <c r="J1017" s="65"/>
      <c r="K1017" s="71"/>
      <c r="L1017" s="71"/>
      <c r="M1017" s="71"/>
      <c r="N1017" s="71"/>
      <c r="O1017" s="123"/>
      <c r="P1017" s="71"/>
      <c r="Q1017" s="71"/>
      <c r="R1017" s="71"/>
      <c r="T1017" s="39"/>
      <c r="U1017" s="79"/>
      <c r="V1017" s="11"/>
    </row>
    <row r="1018" spans="1:57" s="66" customFormat="1" ht="15.5" x14ac:dyDescent="0.35">
      <c r="B1018" s="89">
        <v>12</v>
      </c>
      <c r="C1018" s="67">
        <f>+C1012+1</f>
        <v>130</v>
      </c>
      <c r="D1018" s="68"/>
      <c r="E1018" s="69" t="s">
        <v>924</v>
      </c>
      <c r="F1018" s="70"/>
      <c r="G1018" s="70"/>
      <c r="H1018" s="70"/>
      <c r="I1018" s="70"/>
      <c r="J1018" s="70"/>
      <c r="K1018" s="70"/>
      <c r="L1018" s="70"/>
      <c r="M1018" s="70"/>
      <c r="N1018" s="70"/>
      <c r="O1018" s="125"/>
      <c r="P1018" s="70"/>
      <c r="Q1018" s="70"/>
      <c r="R1018" s="70"/>
      <c r="AR1018" s="65"/>
      <c r="AS1018" s="65"/>
      <c r="AT1018" s="65"/>
      <c r="AU1018" s="65"/>
      <c r="AV1018" s="65"/>
      <c r="AW1018" s="65"/>
      <c r="AX1018" s="71"/>
      <c r="AY1018" s="71"/>
      <c r="AZ1018" s="71"/>
      <c r="BA1018" s="71"/>
      <c r="BB1018" s="71"/>
      <c r="BC1018" s="71"/>
      <c r="BD1018" s="71"/>
      <c r="BE1018" s="71"/>
    </row>
    <row r="1019" spans="1:57" s="66" customFormat="1" x14ac:dyDescent="0.3">
      <c r="B1019">
        <v>12.1</v>
      </c>
      <c r="C1019" s="67"/>
      <c r="D1019" s="68"/>
      <c r="E1019" s="72" t="s">
        <v>8</v>
      </c>
      <c r="F1019" s="70"/>
      <c r="G1019" s="70"/>
      <c r="H1019" s="70"/>
      <c r="I1019" s="70"/>
      <c r="J1019" s="70"/>
      <c r="K1019" s="70"/>
      <c r="L1019" s="71">
        <v>0</v>
      </c>
      <c r="M1019" s="101">
        <v>0</v>
      </c>
      <c r="N1019" s="71">
        <v>0</v>
      </c>
      <c r="O1019" s="123">
        <v>0</v>
      </c>
      <c r="P1019" s="71">
        <v>0</v>
      </c>
      <c r="Q1019" s="71">
        <v>0</v>
      </c>
      <c r="R1019" s="65">
        <f>SUM(F1019:Q1019)</f>
        <v>0</v>
      </c>
      <c r="T1019" s="3">
        <f>SUM(F1019:J1019)</f>
        <v>0</v>
      </c>
      <c r="U1019" s="93">
        <f>SUM(K1019:Q1019)</f>
        <v>0</v>
      </c>
      <c r="V1019" s="11">
        <f>SUM(T1019:U1019)-R1019</f>
        <v>0</v>
      </c>
      <c r="AR1019" s="65"/>
      <c r="AS1019" s="65"/>
      <c r="AT1019" s="65"/>
      <c r="AU1019" s="65"/>
      <c r="AV1019" s="65"/>
      <c r="AW1019" s="65"/>
      <c r="AX1019" s="71"/>
      <c r="AY1019" s="71">
        <v>0</v>
      </c>
      <c r="AZ1019" s="71">
        <v>0</v>
      </c>
      <c r="BA1019" s="71">
        <v>0</v>
      </c>
      <c r="BB1019" s="71">
        <v>0</v>
      </c>
      <c r="BC1019" s="71">
        <v>0</v>
      </c>
      <c r="BD1019" s="71">
        <v>0</v>
      </c>
      <c r="BE1019" s="65">
        <f>SUM(AS1019:BD1019)</f>
        <v>0</v>
      </c>
    </row>
    <row r="1020" spans="1:57" s="66" customFormat="1" x14ac:dyDescent="0.3">
      <c r="B1020">
        <v>12.2</v>
      </c>
      <c r="C1020" s="67"/>
      <c r="D1020" s="68"/>
      <c r="E1020" s="72" t="s">
        <v>9</v>
      </c>
      <c r="F1020" s="70"/>
      <c r="G1020" s="70"/>
      <c r="H1020" s="70"/>
      <c r="I1020" s="70"/>
      <c r="J1020" s="70"/>
      <c r="K1020" s="70"/>
      <c r="L1020" s="71">
        <f>250-250</f>
        <v>0</v>
      </c>
      <c r="M1020" s="101">
        <v>250</v>
      </c>
      <c r="N1020" s="71">
        <v>0</v>
      </c>
      <c r="O1020" s="123">
        <v>0</v>
      </c>
      <c r="P1020" s="71">
        <v>0</v>
      </c>
      <c r="Q1020" s="71">
        <v>0</v>
      </c>
      <c r="R1020" s="65">
        <f>SUM(F1020:Q1020)</f>
        <v>250</v>
      </c>
      <c r="T1020" s="3">
        <f t="shared" ref="T1020:T1021" si="447">SUM(F1020:J1020)</f>
        <v>0</v>
      </c>
      <c r="U1020" s="93">
        <f>SUM(K1020:Q1020)</f>
        <v>250</v>
      </c>
      <c r="V1020" s="11">
        <f>SUM(T1020:U1020)-R1020</f>
        <v>0</v>
      </c>
      <c r="AR1020" s="65"/>
      <c r="AS1020" s="65"/>
      <c r="AT1020" s="65"/>
      <c r="AU1020" s="65"/>
      <c r="AV1020" s="65"/>
      <c r="AW1020" s="65"/>
      <c r="AX1020" s="71"/>
      <c r="AY1020" s="71">
        <v>250</v>
      </c>
      <c r="AZ1020" s="71">
        <v>0</v>
      </c>
      <c r="BA1020" s="71">
        <v>0</v>
      </c>
      <c r="BB1020" s="71">
        <v>0</v>
      </c>
      <c r="BC1020" s="71">
        <v>0</v>
      </c>
      <c r="BD1020" s="71">
        <v>0</v>
      </c>
      <c r="BE1020" s="65">
        <f>SUM(AS1020:BD1020)</f>
        <v>250</v>
      </c>
    </row>
    <row r="1021" spans="1:57" s="66" customFormat="1" ht="13.5" thickBot="1" x14ac:dyDescent="0.35">
      <c r="A1021" s="66" t="s">
        <v>922</v>
      </c>
      <c r="B1021">
        <v>12.3</v>
      </c>
      <c r="C1021" s="67"/>
      <c r="D1021" s="68"/>
      <c r="E1021" s="72" t="s">
        <v>10</v>
      </c>
      <c r="F1021" s="70"/>
      <c r="G1021" s="70"/>
      <c r="H1021" s="70"/>
      <c r="I1021" s="70"/>
      <c r="J1021" s="70"/>
      <c r="K1021" s="70"/>
      <c r="L1021" s="71">
        <f>14000+46685.63-14000-46685.63</f>
        <v>0</v>
      </c>
      <c r="M1021" s="101">
        <f>14000+46608.28+14000+46685.63</f>
        <v>121293.91</v>
      </c>
      <c r="N1021" s="71">
        <f>14000+46530.93</f>
        <v>60530.93</v>
      </c>
      <c r="O1021" s="123">
        <f>14000+46453.58</f>
        <v>60453.58</v>
      </c>
      <c r="P1021" s="71">
        <f>14000+46298.88+77.35</f>
        <v>60376.229999999996</v>
      </c>
      <c r="Q1021" s="71">
        <f>15000+46298.88+15000+46216</f>
        <v>122514.88</v>
      </c>
      <c r="R1021" s="65">
        <f>SUM(F1021:Q1021)</f>
        <v>425169.52999999997</v>
      </c>
      <c r="T1021" s="3">
        <f t="shared" si="447"/>
        <v>0</v>
      </c>
      <c r="U1021" s="94">
        <f>SUM(K1021:Q1021)</f>
        <v>425169.52999999997</v>
      </c>
      <c r="V1021" s="11">
        <f>SUM(T1021:U1021)-R1021</f>
        <v>0</v>
      </c>
      <c r="AR1021" s="65"/>
      <c r="AS1021" s="65"/>
      <c r="AT1021" s="65"/>
      <c r="AU1021" s="65"/>
      <c r="AV1021" s="65"/>
      <c r="AW1021" s="65"/>
      <c r="AX1021" s="71"/>
      <c r="AY1021" s="71">
        <f>14000+46685.63</f>
        <v>60685.63</v>
      </c>
      <c r="AZ1021" s="71">
        <f>14000+46608.28</f>
        <v>60608.28</v>
      </c>
      <c r="BA1021" s="71">
        <f>14000+46530.93</f>
        <v>60530.93</v>
      </c>
      <c r="BB1021" s="71">
        <f>14000+46453.58</f>
        <v>60453.58</v>
      </c>
      <c r="BC1021" s="71">
        <f>14000+46298.88</f>
        <v>60298.879999999997</v>
      </c>
      <c r="BD1021" s="71">
        <f>15000+46298.88</f>
        <v>61298.879999999997</v>
      </c>
      <c r="BE1021" s="65">
        <f>SUM(AS1021:BD1021)</f>
        <v>363876.18</v>
      </c>
    </row>
    <row r="1022" spans="1:57" s="66" customFormat="1" ht="13.5" thickBot="1" x14ac:dyDescent="0.35">
      <c r="C1022" s="67"/>
      <c r="D1022" s="68"/>
      <c r="E1022" s="73" t="s">
        <v>270</v>
      </c>
      <c r="F1022" s="70"/>
      <c r="G1022" s="70"/>
      <c r="H1022" s="70"/>
      <c r="I1022" s="70"/>
      <c r="J1022" s="70"/>
      <c r="K1022" s="70"/>
      <c r="L1022" s="74">
        <f t="shared" ref="L1022:R1022" si="448">SUM(L1019:L1021)</f>
        <v>0</v>
      </c>
      <c r="M1022" s="74">
        <f t="shared" si="448"/>
        <v>121543.91</v>
      </c>
      <c r="N1022" s="74">
        <f t="shared" si="448"/>
        <v>60530.93</v>
      </c>
      <c r="O1022" s="124">
        <f t="shared" si="448"/>
        <v>60453.58</v>
      </c>
      <c r="P1022" s="74">
        <f t="shared" si="448"/>
        <v>60376.229999999996</v>
      </c>
      <c r="Q1022" s="74">
        <f t="shared" si="448"/>
        <v>122514.88</v>
      </c>
      <c r="R1022" s="74">
        <f t="shared" si="448"/>
        <v>425419.52999999997</v>
      </c>
      <c r="T1022" s="39">
        <f>SUM(T1019:T1021)</f>
        <v>0</v>
      </c>
      <c r="U1022" s="78">
        <f>SUM(U1019:U1021)</f>
        <v>425419.52999999997</v>
      </c>
      <c r="V1022" s="11">
        <f>SUM(T1022:U1022)-R1022</f>
        <v>0</v>
      </c>
      <c r="AR1022" s="65"/>
      <c r="AS1022" s="65"/>
      <c r="AT1022" s="65"/>
      <c r="AU1022" s="65"/>
      <c r="AV1022" s="65"/>
      <c r="AW1022" s="65"/>
      <c r="AX1022" s="71"/>
      <c r="AY1022" s="74">
        <f t="shared" ref="AY1022:BE1022" si="449">SUM(AY1019:AY1021)</f>
        <v>60935.63</v>
      </c>
      <c r="AZ1022" s="74">
        <f t="shared" si="449"/>
        <v>60608.28</v>
      </c>
      <c r="BA1022" s="74">
        <f t="shared" si="449"/>
        <v>60530.93</v>
      </c>
      <c r="BB1022" s="74">
        <f t="shared" si="449"/>
        <v>60453.58</v>
      </c>
      <c r="BC1022" s="74">
        <f t="shared" si="449"/>
        <v>60298.879999999997</v>
      </c>
      <c r="BD1022" s="74">
        <f t="shared" si="449"/>
        <v>61298.879999999997</v>
      </c>
      <c r="BE1022" s="74">
        <f t="shared" si="449"/>
        <v>364126.18</v>
      </c>
    </row>
    <row r="1023" spans="1:57" ht="15.5" x14ac:dyDescent="0.35">
      <c r="E1023" s="25" t="s">
        <v>454</v>
      </c>
      <c r="O1023" s="118"/>
    </row>
    <row r="1024" spans="1:57" ht="15.5" x14ac:dyDescent="0.35">
      <c r="E1024" s="8" t="s">
        <v>455</v>
      </c>
      <c r="F1024" s="48">
        <f t="shared" ref="F1024:H1027" si="450">SUM(F5,F11,F17,F23)+SUM(F29,F35,F41,F47,F53,F59,F65,F71,F77)+SUM(F83,F89,F95,F101,F107,F113,F119,F125,F131,F137,F143,F149,F155,F161,F167,F173)+SUM(F179,F185,F191,F197,F203,F209,F215,F221,F227,F233,F239,F245,F251,F257,F263,F269)+SUM(F275,F281,F287,F293,F299,F305,F311,F317,F323,F329,F335,F341,F347,F353,F359,F365,F371,F377,F383,F389)+SUM(F395,F401,F407,F413,F419,F425,F431,F437,F443,F449,F455,F461,F467,F473,F479,F485,F491,F497,F503,F509,F515,F521,F527,F533,F539,F545,F551,F557)+SUM(F563,F569,F575,F581,F587,F593,F599,F605,F611,F617,F623,F629,F635,F641,F647,F653,F659,F665,F671,F677,F683,F689,F695,F701,F707,F713,F719,F725,F731,F737)+SUM(F743,F749,F755,F761,F767,F773,F779,F785,F791,F797,F803,F809,F815,F821)+SUM(F827,F833,F839,F845,F851,F857,F863,F869,F875,F881,F887,F893,F899,F905,F911,F917,F923,F929,F935,F941,F947,F959,F965,F971,F977,F983,F989,F953)</f>
        <v>50957.060000000005</v>
      </c>
      <c r="G1024" s="49">
        <f t="shared" si="450"/>
        <v>50887.630000000005</v>
      </c>
      <c r="H1024" s="49">
        <f t="shared" si="450"/>
        <v>50997.3</v>
      </c>
      <c r="I1024" s="49">
        <f t="shared" ref="I1024:J1027" si="451">SUM(I5,I11,I17,I23)+SUM(I29,I35,I41,I47,I53,I59,I65,I71,I77)+SUM(I83,I89,I95,I101,I107,I113,I119,I125,I131,I137,I143,I149,I155,I161,I167,I173)+SUM(I179,I185,I191,I197,I203,I209,I215,I221,I227,I233,I239,I245,I251,I257,I263,I269)+SUM(I275,I281,I287,I293,I299,I305,I311,I317,I323,I329,I335,I341,I347,I353,I359,I365,I371,I377,I383,I389)+SUM(I395,I401,I407,I413,I419,I425,I431,I437,I443,I449,I455,I461,I467,I473,I479,I485,I491,I497,I503,I509,I515,I521,I527,I533,I539,I545,I551,I557)+SUM(I563,I569,I575,I581,I587,I593,I599,I605,I611,I617,I623,I629,I635,I641,I647,I653,I659,I665,I671,I677,I683,I689,I695,I701,I707,I713,I719,I725,I731,I737)+SUM(I743,I749,I755,I761,I767,I773,I779,I785,I791,I797,I803,I809,I815,I821)+SUM(I827,I833,I839,I845,I851,I857,I863,I869,I875,I881,I887,I893,I899,I905,I911,I917,I923,I929,I935,I941,I947,I959,I965,I971,I977,I983,I989,I953,I995)</f>
        <v>53146.39</v>
      </c>
      <c r="J1024" s="49">
        <f t="shared" si="451"/>
        <v>53078.879999999997</v>
      </c>
      <c r="K1024" s="49">
        <f>SUM(K5,K11,K17,K23)+SUM(K29,K35,K41,K47,K53,K59,K65,K71,K77)+SUM(K83,K89,K95,K101,K107,K113,K119,K125,K131,K137,K143,K149,K155,K161,K167,K173)+SUM(K179,K185,K191,K197,K203,K209,K215,K221,K227,K233,K239,K245,K251,K257,K263,K269)+SUM(K275,K281,K287,K293,K299,K305,K311,K317,K323,K329,K335,K341,K347,K353,K359,K365,K371,K377,K383,K389)+SUM(K395,K401,K407,K413,K419,K425,K431,K437,K443,K449,K455,K461,K467,K473,K479,K485,K491,K497,K503,K509,K515,K521,K527,K533,K539,K545,K551,K557)+SUM(K563,K569,K575,K581,K587,K593,K599,K605,K611,K617,K623,K629,K635,K641,K647,K653,K659,K665,K671,K677,K683,K689,K695,K701,K707,K713,K719,K725,K731,K737)+SUM(K743,K749,K755,K761,K767,K773,K779,K785,K791,K797,K803,K809,K815,K821)+SUM(K827,K833,K839,K845,K851,K857,K863,K869,K875,K881,K887,K893,K899,K905,K911,K917,K923,K929,K935,K941,K947,K959,K965,K971,K977,K983,K989,K953,K995,K1001,K1007)</f>
        <v>87685.202500000014</v>
      </c>
      <c r="L1024" s="49">
        <f>SUM(L5,L11,L17,L23)+SUM(L29,L35,L41,L47,L53,L59,L65,L71,L77)+SUM(L83,L89,L95,L101,L107,L113,L119,L125,L131,L137,L143,L149,L155,L161,L167,L173)+SUM(L179,L185,L191,L197,L203,L209,L215,L221,L227,L233,L239,L245,L251,L257,L263,L269)+SUM(L275,L281,L287,L293,L299,L305,L311,L317,L323,L329,L335,L341,L347,L353,L359,L365,L371,L377,L383,L389)+SUM(L395,L401,L407,L413,L419,L425,L431,L437,L443,L449,L455,L461,L467,L473,L479,L485,L491,L497,L503,L509,L515,L521,L527,L533,L539,L545,L551,L557)+SUM(L563,L569,L575,L581,L587,L593,L599,L605,L611,L617,L623,L629,L635,L641,L647,L653,L659,L665,L671,L677,L683,L689,L695,L701,L707,L713,L719,L725,L731,L737)+SUM(L743,L749,L755,L761,L767,L773,L779,L785,L791,L797,L803,L809,L815,L821)+SUM(L827,L833,L839,L845,L851,L857,L863,L869,L875,L881,L887,L893,L899,L905,L911,L917,L923,L929,L935,L941,L947,L959,L965,L971,L977,L983,L989,L953,L995,L1001,L1007,L1013,L1019)</f>
        <v>100473.38250000001</v>
      </c>
      <c r="M1024" s="49">
        <f t="shared" ref="M1024:Q1027" si="452">SUM(M5,M11,M17,M23)+SUM(M29,M35,M41,M47,M53,M59,M65,M71,M77)+SUM(M83,M89,M95,M101,M107,M113,M119,M125,M131,M137,M143,M149,M155,M161,M167,M173)+SUM(M179,M185,M191,M197,M203,M209,M215,M221,M227,M233,M239,M245,M251,M257,M263,M269)+SUM(M275,M281,M287,M293,M299,M305,M311,M317,M323,M329,M335,M341,M347,M353,M359,M365,M371,M377,M383,M389)+SUM(M395,M401,M407,M413,M419,M425,M431,M437,M443,M449,M455,M461,M467,M473,M479,M485,M491,M497,M503,M509,M515,M521,M527,M533,M539,M545,M551,M557)+SUM(M563,M569,M575,M581,M587,M593,M599,M605,M611,M617,M623,M629,M635,M641,M647,M653,M659,M665,M671,M677,M683,M689,M695,M701,M707,M713,M719,M725,M731,M737)+SUM(M743,M749,M755,M761,M767,M773,M779,M785,M791,M797,M803,M809,M815,M821)+SUM(M827,M833,M839,M845,M851,M857,M863,M869,M875,M881,M887,M893,M899,M905,M911,M917,M923,M929,M935,M941,M947,M959,M965,M971,M977,M983,M989,M953,M995,M1001,M1007,M1013,M1019)</f>
        <v>100442.55250000001</v>
      </c>
      <c r="N1024" s="49">
        <f t="shared" ref="N1024" si="453">SUM(N5,N11,N17,N23)+SUM(N29,N35,N41,N47,N53,N59,N65,N71,N77)+SUM(N83,N89,N95,N101,N107,N113,N119,N125,N131,N137,N143,N149,N155,N161,N167,N173)+SUM(N179,N185,N191,N197,N203,N209,N215,N221,N227,N233,N239,N245,N251,N257,N263,N269)+SUM(N275,N281,N287,N293,N299,N305,N311,N317,N323,N329,N335,N341,N347,N353,N359,N365,N371,N377,N383,N389)+SUM(N395,N401,N407,N413,N419,N425,N431,N437,N443,N449,N455,N461,N467,N473,N479,N485,N491,N497,N503,N509,N515,N521,N527,N533,N539,N545,N551,N557)+SUM(N563,N569,N575,N581,N587,N593,N599,N605,N611,N617,N623,N629,N635,N641,N647,N653,N659,N665,N671,N677,N683,N689,N695,N701,N707,N713,N719,N725,N731,N737)+SUM(N743,N749,N755,N761,N767,N773,N779,N785,N791,N797,N803,N809,N815,N821)+SUM(N827,N833,N839,N845,N851,N857,N863,N869,N875,N881,N887,N893,N899,N905,N911,N917,N923,N929,N935,N941,N947,N959,N965,N971,N977,N983,N989,N953,N995,N1001,N1007,N1013,N1019)</f>
        <v>3347.92</v>
      </c>
      <c r="O1024" s="126">
        <f t="shared" ref="O1024:P1026" si="454">SUM(O5,O11,O17,O23)+SUM(O29,O35,O41,O47,O53,O59,O65,O71,O77)+SUM(O83,O89,O95,O101,O107,O113,O119,O125,O131,O137,O143,O149,O155,O161,O167,O173)+SUM(O179,O185,O191,O197,O203,O209,O215,O221,O227,O233,O239,O245,O251,O257,O263,O269)+SUM(O275,O281,O287,O293,O299,O305,O311,O317,O323,O329,O335,O341,O347,O353,O359,O365,O371,O377,O383,O389)+SUM(O395,O401,O407,O413,O419,O425,O431,O437,O443,O449,O455,O461,O467,O473,O479,O485,O491,O497,O503,O509,O515,O521,O527,O533,O539,O545,O551,O557)+SUM(O563,O569,O575,O581,O587,O593,O599,O605,O611,O617,O623,O629,O635,O641,O647,O653,O659,O665,O671,O677,O683,O689,O695,O701,O707,O713,O719,O725,O731,O737)+SUM(O743,O749,O755,O761,O767,O773,O779,O785,O791,O797,O803,O809,O815,O821)+SUM(O827,O833,O839,O845,O851,O857,O863,O869,O875,O881,O887,O893,O899,O905,O911,O917,O923,O929,O935,O941,O947,O959,O965,O971,O977,O983,O989,O953,O995,O1001,O1007,O1013,O1019)</f>
        <v>105003.815</v>
      </c>
      <c r="P1024" s="49">
        <f t="shared" si="454"/>
        <v>3347.92</v>
      </c>
      <c r="Q1024" s="49">
        <f t="shared" si="452"/>
        <v>3347.92</v>
      </c>
      <c r="R1024" s="49">
        <f>SUM(F1024:Q1024)</f>
        <v>662715.97250000015</v>
      </c>
      <c r="T1024" s="49">
        <f>SUM(T5,T11,T17,T23)+SUM(T29,T35,T41,T47,T53,T59,T65,T71,T77)+SUM(T83,T89,T95,T101,T107,T113,T119,T125,T131,T137,T143,T149,T155,T161,T167,T173)+SUM(T179,T185,T191,T197,T203,T209,T215,T221,T227,T233,T239,T245,T251,T257,T263,T269)+SUM(T275,T281,T287,T293,T299,T305,T311,T317,T323,T329,T335,T341,T347,T353,T359,T365,T371,T377,T383,T389)+SUM(T395,T401,T407,T413,T419,T425,T431,T437,T443,T449,T455,T461,T467,T473,T479,T485,T491,T497,T503,T509,T515,T521,T527,T533,T539,T545,T551,T557)+SUM(T563,T569,T575,T581,T587,T593,T599,T605,T611,T617,T623,T629,T635,T641,T647,T653,T659,T665,T671,T677,T683,T689,T695,T701,T707,T713,T719,T725,T731,T737)+SUM(T743,T749,T755,T761,T767,T773,T779,T785,T791,T797,T803,T809,T815,T821)+SUM(T827,T833,T839,T845,T851,T857,T863,T869,T875,T881,T887,T893,T899,T905,T911,T917,T923,T929,T935,T941,T947,T959,T965,T971,T977,T983,T989,T953,T995,T1001,T1007)</f>
        <v>259067.25999999995</v>
      </c>
      <c r="U1024" s="80">
        <f>SUM(U5,U11,U17,U23)+SUM(U29,U35,U41,U47,U53,U59,U65,U71,U77)+SUM(U83,U89,U95,U101,U107,U113,U119,U125,U131,U137,U143,U149,U155,U161,U167,U173)+SUM(U179,U185,U191,U197,U203,U209,U215,U221,U227,U233,U239,U245,U251,U257,U263,U269)+SUM(U275,U281,U287,U293,U299,U305,U311,U317,U323,U329,U335,U341,U347,U353,U359,U365,U371,U377,U383,U389)+SUM(U395,U401,U407,U413,U419,U425,U431,U437,U443,U449,U455,U461,U467,U473,U479,U485,U491,U497,U503,U509,U515,U521,U527,U533,U539,U545,U551,U557)+SUM(U563,U569,U575,U581,U587,U593,U599,U605,U611,U617,U623,U629,U635,U641,U647,U653,U659,U665,U671,U677,U683,U689,U695,U701,U707,U713,U719,U725,U731,U737)+SUM(U743,U749,U755,U761,U767,U773,U779,U785,U791,U797,U803,U809,U815,U821)+SUM(U827,U833,U839,U845,U851,U857,U863,U869,U875,U881,U887,U893,U899,U905,U911,U917,U923,U929,U935,U941,U947,U959,U965,U971,U977,U983,U989,U953,U995,U1001,U1007,U1013,U1019)</f>
        <v>403648.71250000002</v>
      </c>
      <c r="V1024" s="11">
        <f>SUM(T1024:U1024)-R1024</f>
        <v>0</v>
      </c>
    </row>
    <row r="1025" spans="3:22" ht="15.5" x14ac:dyDescent="0.35">
      <c r="E1025" s="8" t="s">
        <v>456</v>
      </c>
      <c r="F1025" s="48">
        <f t="shared" si="450"/>
        <v>30750</v>
      </c>
      <c r="G1025" s="49">
        <f t="shared" si="450"/>
        <v>0</v>
      </c>
      <c r="H1025" s="49">
        <f t="shared" si="450"/>
        <v>0</v>
      </c>
      <c r="I1025" s="49">
        <f t="shared" si="451"/>
        <v>229.17</v>
      </c>
      <c r="J1025" s="49">
        <f t="shared" si="451"/>
        <v>0</v>
      </c>
      <c r="K1025" s="49">
        <f>SUM(K6,K12,K18,K24)+SUM(K30,K36,K42,K48,K54,K60,K66,K72,K78)+SUM(K84,K90,K96,K102,K108,K114,K120,K126,K132,K138,K144,K150,K156,K162,K168,K174)+SUM(K180,K186,K192,K198,K204,K210,K216,K222,K228,K234,K240,K246,K252,K258,K264,K270)+SUM(K276,K282,K288,K294,K300,K306,K312,K318,K324,K330,K336,K342,K348,K354,K360,K366,K372,K378,K384,K390)+SUM(K396,K402,K408,K414,K420,K426,K432,K438,K444,K450,K456,K462,K468,K474,K480,K486,K492,K498,K504,K510,K516,K522,K528,K534,K540,K546,K552,K558)+SUM(K564,K570,K576,K582,K588,K594,K600,K606,K612,K618,K624,K630,K636,K642,K648,K654,K660,K666,K672,K678,K684,K690,K696,K702,K708,K714,K720,K726,K732,K738)+SUM(K744,K750,K756,K762,K768,K774,K780,K786,K792,K798,K804,K810,K816,K822)+SUM(K828,K834,K840,K846,K852,K858,K864,K870,K876,K882,K888,K894,K900,K906,K912,K918,K924,K930,K936,K942,K948,K960,K966,K972,K978,K984,K990,K954,K996,K1002,K1008)</f>
        <v>218.84</v>
      </c>
      <c r="L1025" s="49">
        <f>SUM(L6,L12,L18,L24)+SUM(L30,L36,L42,L48,L54,L60,L66,L72,L78)+SUM(L84,L90,L96,L102,L108,L114,L120,L126,L132,L138,L144,L150,L156,L162,L168,L174)+SUM(L180,L186,L192,L198,L204,L210,L216,L222,L228,L234,L240,L246,L252,L258,L264,L270)+SUM(L276,L282,L288,L294,L300,L306,L312,L318,L324,L330,L336,L342,L348,L354,L360,L366,L372,L378,L384,L390)+SUM(L396,L402,L408,L414,L420,L426,L432,L438,L444,L450,L456,L462,L468,L474,L480,L486,L492,L498,L504,L510,L516,L522,L528,L534,L540,L546,L552,L558)+SUM(L564,L570,L576,L582,L588,L594,L600,L606,L612,L618,L624,L630,L636,L642,L648,L654,L660,L666,L672,L678,L684,L690,L696,L702,L708,L714,L720,L726,L732,L738)+SUM(L744,L750,L756,L762,L768,L774,L780,L786,L792,L798,L804,L810,L816,L822)+SUM(L828,L834,L840,L846,L852,L858,L864,L870,L876,L882,L888,L894,L900,L906,L912,L918,L924,L930,L936,L942,L948,L960,L966,L972,L978,L984,L990,L954,L996,L1002,L1008,L1014,L1020)</f>
        <v>125</v>
      </c>
      <c r="M1025" s="49">
        <f t="shared" si="452"/>
        <v>250</v>
      </c>
      <c r="N1025" s="49">
        <f t="shared" ref="N1025" si="455">SUM(N6,N12,N18,N24)+SUM(N30,N36,N42,N48,N54,N60,N66,N72,N78)+SUM(N84,N90,N96,N102,N108,N114,N120,N126,N132,N138,N144,N150,N156,N162,N168,N174)+SUM(N180,N186,N192,N198,N204,N210,N216,N222,N228,N234,N240,N246,N252,N258,N264,N270)+SUM(N276,N282,N288,N294,N300,N306,N312,N318,N324,N330,N336,N342,N348,N354,N360,N366,N372,N378,N384,N390)+SUM(N396,N402,N408,N414,N420,N426,N432,N438,N444,N450,N456,N462,N468,N474,N480,N486,N492,N498,N504,N510,N516,N522,N528,N534,N540,N546,N552,N558)+SUM(N564,N570,N576,N582,N588,N594,N600,N606,N612,N618,N624,N630,N636,N642,N648,N654,N660,N666,N672,N678,N684,N690,N696,N702,N708,N714,N720,N726,N732,N738)+SUM(N744,N750,N756,N762,N768,N774,N780,N786,N792,N798,N804,N810,N816,N822)+SUM(N828,N834,N840,N846,N852,N858,N864,N870,N876,N882,N888,N894,N900,N906,N912,N918,N924,N930,N936,N942,N948,N960,N966,N972,N978,N984,N990,N954,N996,N1002,N1008,N1014,N1020)</f>
        <v>0</v>
      </c>
      <c r="O1025" s="126">
        <f t="shared" si="454"/>
        <v>0</v>
      </c>
      <c r="P1025" s="49">
        <f t="shared" si="454"/>
        <v>0</v>
      </c>
      <c r="Q1025" s="49">
        <f t="shared" si="452"/>
        <v>0</v>
      </c>
      <c r="R1025" s="49">
        <f>SUM(F1025:Q1025)</f>
        <v>31573.01</v>
      </c>
      <c r="T1025" s="49">
        <f>SUM(T6,T12,T18,T24)+SUM(T30,T36,T42,T48,T54,T60,T66,T72,T78)+SUM(T84,T90,T96,T102,T108,T114,T120,T126,T132,T138,T144,T150,T156,T162,T168,T174)+SUM(T180,T186,T192,T198,T204,T210,T216,T222,T228,T234,T240,T246,T252,T258,T264,T270)+SUM(T276,T282,T288,T294,T300,T306,T312,T318,T324,T330,T336,T342,T348,T354,T360,T366,T372,T378,T384,T390)+SUM(T396,T402,T408,T414,T420,T426,T432,T438,T444,T450,T456,T462,T468,T474,T480,T486,T492,T498,T504,T510,T516,T522,T528,T534,T540,T546,T552,T558)+SUM(T564,T570,T576,T582,T588,T594,T600,T606,T612,T618,T624,T630,T636,T642,T648,T654,T660,T666,T672,T678,T684,T690,T696,T702,T708,T714,T720,T726,T732,T738)+SUM(T744,T750,T756,T762,T768,T774,T780,T786,T792,T798,T804,T810,T816,T822)+SUM(T828,T834,T840,T846,T852,T858,T864,T870,T876,T882,T888,T894,T900,T906,T912,T918,T924,T930,T936,T942,T948,T960,T966,T972,T978,T984,T990,T954,T996,T1002,T1008)</f>
        <v>30979.17</v>
      </c>
      <c r="U1025" s="80">
        <f>SUM(U6,U12,U18,U24)+SUM(U30,U36,U42,U48,U54,U60,U66,U72,U78)+SUM(U84,U90,U96,U102,U108,U114,U120,U126,U132,U138,U144,U150,U156,U162,U168,U174)+SUM(U180,U186,U192,U198,U204,U210,U216,U222,U228,U234,U240,U246,U252,U258,U264,U270)+SUM(U276,U282,U288,U294,U300,U306,U312,U318,U324,U330,U336,U342,U348,U354,U360,U366,U372,U378,U384,U390)+SUM(U396,U402,U408,U414,U420,U426,U432,U438,U444,U450,U456,U462,U468,U474,U480,U486,U492,U498,U504,U510,U516,U522,U528,U534,U540,U546,U552,U558)+SUM(U564,U570,U576,U582,U588,U594,U600,U606,U612,U618,U624,U630,U636,U642,U648,U654,U660,U666,U672,U678,U684,U690,U696,U702,U708,U714,U720,U726,U732,U738)+SUM(U744,U750,U756,U762,U768,U774,U780,U786,U792,U798,U804,U810,U816,U822)+SUM(U828,U834,U840,U846,U852,U858,U864,U870,U876,U882,U888,U894,U900,U906,U912,U918,U924,U930,U936,U942,U948,U960,U966,U972,U978,U984,U990,U954,U996,U1002,U1008,U1014,U1020)</f>
        <v>593.84</v>
      </c>
      <c r="V1025" s="11">
        <f>SUM(T1025:U1025)-R1025</f>
        <v>0</v>
      </c>
    </row>
    <row r="1026" spans="3:22" ht="15.5" x14ac:dyDescent="0.35">
      <c r="E1026" s="8" t="s">
        <v>457</v>
      </c>
      <c r="F1026" s="48">
        <f t="shared" si="450"/>
        <v>9471084.0399999991</v>
      </c>
      <c r="G1026" s="49">
        <f t="shared" si="450"/>
        <v>9468886.7100000009</v>
      </c>
      <c r="H1026" s="49">
        <f t="shared" si="450"/>
        <v>9524019.620000001</v>
      </c>
      <c r="I1026" s="49">
        <f t="shared" si="451"/>
        <v>9669844.0700000022</v>
      </c>
      <c r="J1026" s="49">
        <f t="shared" si="451"/>
        <v>9508373.6099999994</v>
      </c>
      <c r="K1026" s="49">
        <f>SUM(K7,K13,K19,K25)+SUM(K31,K37,K43,K49,K55,K61,K67,K73,K79)+SUM(K85,K91,K97,K103,K109,K115,K121,K127,K133,K139,K145,K151,K157,K163,K169,K175)+SUM(K181,K187,K193,K199,K205,K211,K217,K223,K229,K235,K241,K247,K253,K259,K265,K271)+SUM(K277,K283,K289,K295,K301,K307,K313,K319,K325,K331,K337,K343,K349,K355,K361,K367,K373,K379,K385,K391)+SUM(K397,K403,K409,K415,K421,K427,K433,K439,K445,K451,K457,K463,K469,K475,K481,K487,K493,K499,K505,K511,K517,K523,K529,K535,K541,K547,K553,K559)+SUM(K565,K571,K577,K583,K589,K595,K601,K607,K613,K619,K625,K631,K637,K643,K649,K655,K661,K667,K673,K679,K685,K691,K697,K703,K709,K715,K721,K727,K733,K739)+SUM(K745,K751,K757,K763,K769,K775,K781,K787,K793,K799,K805,K811,K817,K823)+SUM(K829,K835,K841,K847,K853,K859,K865,K871,K877,K883,K889,K895,K901,K907,K913,K919,K925,K931,K937,K943,K949,K961,K967,K973,K979,K985,K991,K955,K997,K1003,K1009)</f>
        <v>15505642.489999998</v>
      </c>
      <c r="L1026" s="49">
        <f>SUM(L7,L13,L19,L25)+SUM(L31,L37,L43,L49,L55,L61,L67,L73,L79)+SUM(L85,L91,L97,L103,L109,L115,L121,L127,L133,L139,L145,L151,L157,L163,L169,L175)+SUM(L181,L187,L193,L199,L205,L211,L217,L223,L229,L235,L241,L247,L253,L259,L265,L271)+SUM(L277,L283,L289,L295,L301,L307,L313,L319,L325,L331,L337,L343,L349,L355,L361,L367,L373,L379,L385,L391)+SUM(L397,L403,L409,L415,L421,L427,L433,L439,L445,L451,L457,L463,L469,L475,L481,L487,L493,L499,L505,L511,L517,L523,L529,L535,L541,L547,L553,L559)+SUM(L565,L571,L577,L583,L589,L595,L601,L607,L613,L619,L625,L631,L637,L643,L649,L655,L661,L667,L673,L679,L685,L691,L697,L703,L709,L715,L721,L727,L733,L739)+SUM(L745,L751,L757,L763,L769,L775,L781,L787,L793,L799,L805,L811,L817,L823)+SUM(L829,L835,L841,L847,L853,L859,L865,L871,L877,L883,L889,L895,L901,L907,L913,L919,L925,L931,L937,L943,L949,L961,L967,L973,L979,L985,L991,L955,L997,L1003,L1009,L1015,L1021)</f>
        <v>15209170.403333334</v>
      </c>
      <c r="M1026" s="49">
        <f t="shared" si="452"/>
        <v>15746625.113333333</v>
      </c>
      <c r="N1026" s="49">
        <f t="shared" ref="N1026" si="456">SUM(N7,N13,N19,N25)+SUM(N31,N37,N43,N49,N55,N61,N67,N73,N79)+SUM(N85,N91,N97,N103,N109,N115,N121,N127,N133,N139,N145,N151,N157,N163,N169,N175)+SUM(N181,N187,N193,N199,N205,N211,N217,N223,N229,N235,N241,N247,N253,N259,N265,N271)+SUM(N277,N283,N289,N295,N301,N307,N313,N319,N325,N331,N337,N343,N349,N355,N361,N367,N373,N379,N385,N391)+SUM(N397,N403,N409,N415,N421,N427,N433,N439,N445,N451,N457,N463,N469,N475,N481,N487,N493,N499,N505,N511,N517,N523,N529,N535,N541,N547,N553,N559)+SUM(N565,N571,N577,N583,N589,N595,N601,N607,N613,N619,N625,N631,N637,N643,N649,N655,N661,N667,N673,N679,N685,N691,N697,N703,N709,N715,N721,N727,N733,N739)+SUM(N745,N751,N757,N763,N769,N775,N781,N787,N793,N799,N805,N811,N817,N823)+SUM(N829,N835,N841,N847,N853,N859,N865,N871,N877,N883,N889,N895,N901,N907,N913,N919,N925,N931,N937,N943,N949,N961,N967,N973,N979,N985,N991,N955,N997,N1003,N1009,N1015,N1021)</f>
        <v>2288217.16</v>
      </c>
      <c r="O1026" s="126">
        <f t="shared" si="454"/>
        <v>16612072.683333334</v>
      </c>
      <c r="P1026" s="49">
        <f t="shared" si="454"/>
        <v>2629552.3200000003</v>
      </c>
      <c r="Q1026" s="49">
        <f t="shared" si="452"/>
        <v>2700448.59</v>
      </c>
      <c r="R1026" s="49">
        <f>SUM(F1026:Q1026)</f>
        <v>118333936.81</v>
      </c>
      <c r="T1026" s="49">
        <f>SUM(T7,T13,T19,T25)+SUM(T31,T37,T43,T49,T55,T61,T67,T73,T79)+SUM(T85,T91,T97,T103,T109,T115,T121,T127,T133,T139,T145,T151,T157,T163,T169,T175)+SUM(T181,T187,T193,T199,T205,T211,T217,T223,T229,T235,T241,T247,T253,T259,T265,T271)+SUM(T277,T283,T289,T295,T301,T307,T313,T319,T325,T331,T337,T343,T349,T355,T361,T367,T373,T379,T385,T391)+SUM(T397,T403,T409,T415,T421,T427,T433,T439,T445,T451,T457,T463,T469,T475,T481,T487,T493,T499,T505,T511,T517,T523,T529,T535,T541,T547,T553,T559)+SUM(T565,T571,T577,T583,T589,T595,T601,T607,T613,T619,T625,T631,T637,T643,T649,T655,T661,T667,T673,T679,T685,T691,T697,T703,T709,T715,T721,T727,T733,T739)+SUM(T745,T751,T757,T763,T769,T775,T781,T787,T793,T799,T805,T811,T817,T823)+SUM(T829,T835,T841,T847,T853,T859,T865,T871,T877,T883,T889,T895,T901,T907,T913,T919,T925,T931,T937,T943,T949,T961,T967,T973,T979,T985,T991,T955,T997,T1003,T1009)</f>
        <v>47642208.049999997</v>
      </c>
      <c r="U1026" s="80">
        <f>SUM(U7,U13,U19,U25)+SUM(U31,U37,U43,U49,U55,U61,U67,U73,U79)+SUM(U85,U91,U97,U103,U109,U115,U121,U127,U133,U139,U145,U151,U157,U163,U169,U175)+SUM(U181,U187,U193,U199,U205,U211,U217,U223,U229,U235,U241,U247,U253,U259,U265,U271)+SUM(U277,U283,U289,U295,U301,U307,U313,U319,U325,U331,U337,U343,U349,U355,U361,U367,U373,U379,U385,U391)+SUM(U397,U403,U409,U415,U421,U427,U433,U439,U445,U451,U457,U463,U469,U475,U481,U487,U493,U499,U505,U511,U517,U523,U529,U535,U541,U547,U553,U559)+SUM(U565,U571,U577,U583,U589,U595,U601,U607,U613,U619,U625,U631,U637,U643,U649,U655,U661,U667,U673,U679,U685,U691,U697,U703,U709,U715,U721,U727,U733,U739)+SUM(U745,U751,U757,U763,U769,U775,U781,U787,U793,U799,U805,U811,U817,U823)+SUM(U829,U835,U841,U847,U853,U859,U865,U871,U877,U883,U889,U895,U901,U907,U913,U919,U925,U931,U937,U943,U949,U961,U967,U973,U979,U985,U991,U955,U997,U1003,U1009,U1015,U1021)</f>
        <v>70691728.75999999</v>
      </c>
      <c r="V1026" s="11">
        <f>SUM(T1026:U1026)-R1026</f>
        <v>0</v>
      </c>
    </row>
    <row r="1027" spans="3:22" ht="16" thickBot="1" x14ac:dyDescent="0.4">
      <c r="E1027" s="50" t="s">
        <v>458</v>
      </c>
      <c r="F1027" s="48">
        <f t="shared" si="450"/>
        <v>9552791.0999999996</v>
      </c>
      <c r="G1027" s="49">
        <f t="shared" si="450"/>
        <v>9519774.3399999999</v>
      </c>
      <c r="H1027" s="49">
        <f t="shared" si="450"/>
        <v>9575016.9199999999</v>
      </c>
      <c r="I1027" s="49">
        <f t="shared" si="451"/>
        <v>9723219.6300000008</v>
      </c>
      <c r="J1027" s="49">
        <f t="shared" si="451"/>
        <v>9561452.4900000002</v>
      </c>
      <c r="K1027" s="49">
        <f>SUM(K8,K14,K20,K26)+SUM(K32,K38,K44,K50,K56,K62,K68,K74,K80)+SUM(K86,K92,K98,K104,K110,K116,K122,K128,K134,K140,K146,K152,K158,K164,K170,K176)+SUM(K182,K188,K194,K200,K206,K212,K218,K224,K230,K236,K242,K248,K254,K260,K266,K272)+SUM(K278,K284,K290,K296,K302,K308,K314,K320,K326,K332,K338,K344,K350,K356,K362,K368,K374,K380,K386,K392)+SUM(K398,K404,K410,K416,K422,K428,K434,K440,K446,K452,K458,K464,K470,K476,K482,K488,K494,K500,K506,K512,K518,K524,K530,K536,K542,K548,K554,K560)+SUM(K566,K572,K578,K584,K590,K596,K602,K608,K614,K620,K626,K632,K638,K644,K650,K656,K662,K668,K674,K680,K686,K692,K698,K704,K710,K716,K722,K728,K734,K740)+SUM(K746,K752,K758,K764,K770,K776,K782,K788,K794,K800,K806,K812,K818,K824)+SUM(K830,K836,K842,K848,K854,K860,K866,K872,K878,K884,K890,K896,K902,K908,K914,K920,K926,K932,K938,K944,K950,K962,K968,K974,K980,K986,K992,K956,K998,K1004,K1010)</f>
        <v>15593546.532499997</v>
      </c>
      <c r="L1027" s="49">
        <f>SUM(L8,L14,L20,L26)+SUM(L32,L38,L44,L50,L56,L62,L68,L74,L80)+SUM(L86,L92,L98,L104,L110,L116,L122,L128,L134,L140,L146,L152,L158,L164,L170,L176)+SUM(L182,L188,L194,L200,L206,L212,L218,L224,L230,L236,L242,L248,L254,L260,L266,L272)+SUM(L278,L284,L290,L296,L302,L308,L314,L320,L326,L332,L338,L344,L350,L356,L362,L368,L374,L380,L386,L392)+SUM(L398,L404,L410,L416,L422,L428,L434,L440,L446,L452,L458,L464,L470,L476,L482,L488,L494,L500,L506,L512,L518,L524,L530,L536,L542,L548,L554,L560)+SUM(L566,L572,L578,L584,L590,L596,L602,L608,L614,L620,L626,L632,L638,L644,L650,L656,L662,L668,L674,L680,L686,L692,L698,L704,L710,L716,L722,L728,L734,L740)+SUM(L746,L752,L758,L764,L770,L776,L782,L788,L794,L800,L806,L812,L818,L824)+SUM(L830,L836,L842,L848,L854,L860,L866,L872,L878,L884,L890,L896,L902,L908,L914,L920,L926,L932,L938,L944,L950,L962,L968,L974,L980,L986,L992,L956,L998,L1004,L1010,L1016,L1022)</f>
        <v>15309768.785833333</v>
      </c>
      <c r="M1027" s="49">
        <f t="shared" si="452"/>
        <v>15847317.665833332</v>
      </c>
      <c r="N1027" s="49">
        <f t="shared" ref="N1027" si="457">SUM(N8,N14,N20,N26)+SUM(N32,N38,N44,N50,N56,N62,N68,N74,N80)+SUM(N86,N92,N98,N104,N110,N116,N122,N128,N134,N140,N146,N152,N158,N164,N170,N176)+SUM(N182,N188,N194,N200,N206,N212,N218,N224,N230,N236,N242,N248,N254,N260,N266,N272)+SUM(N278,N284,N290,N296,N302,N308,N314,N320,N326,N332,N338,N344,N350,N356,N362,N368,N374,N380,N386,N392)+SUM(N398,N404,N410,N416,N422,N428,N434,N440,N446,N452,N458,N464,N470,N476,N482,N488,N494,N500,N506,N512,N518,N524,N530,N536,N542,N548,N554,N560)+SUM(N566,N572,N578,N584,N590,N596,N602,N608,N614,N620,N626,N632,N638,N644,N650,N656,N662,N668,N674,N680,N686,N692,N698,N704,N710,N716,N722,N728,N734,N740)+SUM(N746,N752,N758,N764,N770,N776,N782,N788,N794,N800,N806,N812,N818,N824)+SUM(N830,N836,N842,N848,N854,N860,N866,N872,N878,N884,N890,N896,N902,N908,N914,N920,N926,N932,N938,N944,N950,N962,N968,N974,N980,N986,N992,N956,N998,N1004,N1010,N1016,N1022)</f>
        <v>2291565.08</v>
      </c>
      <c r="O1027" s="127">
        <f t="shared" si="452"/>
        <v>16717076.498333331</v>
      </c>
      <c r="P1027" s="49">
        <f t="shared" ref="P1027" si="458">SUM(P8,P14,P20,P26)+SUM(P32,P38,P44,P50,P56,P62,P68,P74,P80)+SUM(P86,P92,P98,P104,P110,P116,P122,P128,P134,P140,P146,P152,P158,P164,P170,P176)+SUM(P182,P188,P194,P200,P206,P212,P218,P224,P230,P236,P242,P248,P254,P260,P266,P272)+SUM(P278,P284,P290,P296,P302,P308,P314,P320,P326,P332,P338,P344,P350,P356,P362,P368,P374,P380,P386,P392)+SUM(P398,P404,P410,P416,P422,P428,P434,P440,P446,P452,P458,P464,P470,P476,P482,P488,P494,P500,P506,P512,P518,P524,P530,P536,P542,P548,P554,P560)+SUM(P566,P572,P578,P584,P590,P596,P602,P608,P614,P620,P626,P632,P638,P644,P650,P656,P662,P668,P674,P680,P686,P692,P698,P704,P710,P716,P722,P728,P734,P740)+SUM(P746,P752,P758,P764,P770,P776,P782,P788,P794,P800,P806,P812,P818,P824)+SUM(P830,P836,P842,P848,P854,P860,P866,P872,P878,P884,P890,P896,P902,P908,P914,P920,P926,P932,P938,P944,P950,P962,P968,P974,P980,P986,P992,P956,P998,P1004,P1010,P1016,P1022)</f>
        <v>2632900.2400000002</v>
      </c>
      <c r="Q1027" s="49">
        <f t="shared" si="452"/>
        <v>2703796.5100000002</v>
      </c>
      <c r="R1027" s="49">
        <f>SUM(R1024:R1026)</f>
        <v>119028225.7925</v>
      </c>
      <c r="T1027" s="49">
        <f>SUM(T8,T14,T20,T26)+SUM(T32,T38,T44,T50,T56,T62,T68,T74,T80)+SUM(T86,T92,T98,T104,T110,T116,T122,T128,T134,T140,T146,T152,T158,T164,T170,T176)+SUM(T182,T188,T194,T200,T206,T212,T218,T224,T230,T236,T242,T248,T254,T260,T266,T272)+SUM(T278,T284,T290,T296,T302,T308,T314,T320,T326,T332,T338,T344,T350,T356,T362,T368,T374,T380,T386,T392)+SUM(T398,T404,T410,T416,T422,T428,T434,T440,T446,T452,T458,T464,T470,T476,T482,T488,T494,T500,T506,T512,T518,T524,T530,T536,T542,T548,T554,T560)+SUM(T566,T572,T578,T584,T590,T596,T602,T608,T614,T620,T626,T632,T638,T644,T650,T656,T662,T668,T674,T680,T686,T692,T698,T704,T710,T716,T722,T728,T734,T740)+SUM(T746,T752,T758,T764,T770,T776,T782,T788,T794,T800,T806,T812,T818,T824)+SUM(T830,T836,T842,T848,T854,T860,T866,T872,T878,T884,T890,T896,T902,T908,T914,T920,T926,T932,T938,T944,T950,T962,T968,T974,T980,T986,T992,T956,T998,T1004,T1010)</f>
        <v>47932254.480000004</v>
      </c>
      <c r="U1027" s="80">
        <f>SUM(U8,U14,U20,U26)+SUM(U32,U38,U44,U50,U56,U62,U68,U74,U80)+SUM(U86,U92,U98,U104,U110,U116,U122,U128,U134,U140,U146,U152,U158,U164,U170,U176)+SUM(U182,U188,U194,U200,U206,U212,U218,U224,U230,U236,U242,U248,U254,U260,U266,U272)+SUM(U278,U284,U290,U296,U302,U308,U314,U320,U326,U332,U338,U344,U350,U356,U362,U368,U374,U380,U386,U392)+SUM(U398,U404,U410,U416,U422,U428,U434,U440,U446,U452,U458,U464,U470,U476,U482,U488,U494,U500,U506,U512,U518,U524,U530,U536,U542,U548,U554,U560)+SUM(U566,U572,U578,U584,U590,U596,U602,U608,U614,U620,U626,U632,U638,U644,U650,U656,U662,U668,U674,U680,U686,U692,U698,U704,U710,U716,U722,U728,U734,U740)+SUM(U746,U752,U758,U764,U770,U776,U782,U788,U794,U800,U806,U812,U818,U824)+SUM(U830,U836,U842,U848,U854,U860,U866,U872,U878,U884,U890,U896,U902,U908,U914,U920,U926,U932,U938,U944,U950,U962,U968,U974,U980,U986,U992,U956,U998,U1004,U1010,U1016,U1022)</f>
        <v>71095971.3125</v>
      </c>
      <c r="V1027" s="11">
        <f>SUM(T1027:U1027)-R1027</f>
        <v>0</v>
      </c>
    </row>
    <row r="1028" spans="3:22" x14ac:dyDescent="0.3">
      <c r="E1028" s="8"/>
    </row>
    <row r="1029" spans="3:22" x14ac:dyDescent="0.3">
      <c r="E1029" s="8"/>
    </row>
    <row r="1030" spans="3:22" x14ac:dyDescent="0.3">
      <c r="E1030" s="50" t="s">
        <v>932</v>
      </c>
    </row>
    <row r="1031" spans="3:22" x14ac:dyDescent="0.3">
      <c r="C1031" s="105">
        <v>9.1</v>
      </c>
      <c r="E1031" s="106" t="s">
        <v>455</v>
      </c>
      <c r="K1031" s="39"/>
      <c r="L1031" s="39"/>
      <c r="M1031" s="39"/>
      <c r="N1031" s="39">
        <f>SUMIF($B$3:$B$1022,$C1031,$N$3:$N$1022)</f>
        <v>0</v>
      </c>
      <c r="O1031" s="39">
        <f>SUMIF($B$3:$B$1022,$C1031,$O$3:$O$1022)</f>
        <v>101655.89499999999</v>
      </c>
      <c r="P1031" s="39">
        <f>SUMIF($B$3:$B$1022,$C1031,$P$3:$P$1022)</f>
        <v>0</v>
      </c>
      <c r="Q1031" s="39">
        <f>SUMIF($B$3:$B$1022,$C1031,$Q$3:$Q$1022)</f>
        <v>0</v>
      </c>
    </row>
    <row r="1032" spans="3:22" x14ac:dyDescent="0.3">
      <c r="C1032" s="105">
        <v>9.1999999999999993</v>
      </c>
      <c r="E1032" s="106" t="s">
        <v>456</v>
      </c>
      <c r="K1032" s="39"/>
      <c r="L1032" s="39"/>
      <c r="M1032" s="39"/>
      <c r="N1032" s="39">
        <f>SUMIF($B$3:$B$1022,$C1032,$N$3:$N$1022)</f>
        <v>0</v>
      </c>
      <c r="O1032" s="39">
        <f>SUMIF($B$3:$B$1022,$C1032,$O$3:$O$1022)</f>
        <v>0</v>
      </c>
      <c r="P1032" s="39">
        <f>SUMIF($B$3:$B$1022,$C1032,$P$3:$P$1022)</f>
        <v>0</v>
      </c>
      <c r="Q1032" s="39">
        <f>SUMIF($B$3:$B$1022,$C1032,$Q$3:$Q$1022)</f>
        <v>0</v>
      </c>
    </row>
    <row r="1033" spans="3:22" x14ac:dyDescent="0.3">
      <c r="C1033" s="105">
        <v>9.3000000000000007</v>
      </c>
      <c r="E1033" s="106" t="s">
        <v>457</v>
      </c>
      <c r="K1033" s="39"/>
      <c r="L1033" s="39"/>
      <c r="M1033" s="39"/>
      <c r="N1033" s="39">
        <f>SUMIF($B$3:$B$1022,$C1033,$N$3:$N$1022)</f>
        <v>0</v>
      </c>
      <c r="O1033" s="39">
        <f>SUMIF($B$3:$B$1022,$C1033,$O$3:$O$1022)</f>
        <v>14037300.283333343</v>
      </c>
      <c r="P1033" s="39">
        <f>SUMIF($B$3:$B$1022,$C1033,$P$3:$P$1022)</f>
        <v>0</v>
      </c>
      <c r="Q1033" s="39">
        <f>SUMIF($B$3:$B$1022,$C1033,$Q$3:$Q$1022)</f>
        <v>0</v>
      </c>
    </row>
    <row r="1034" spans="3:22" ht="13.5" thickBot="1" x14ac:dyDescent="0.35">
      <c r="E1034" s="110" t="s">
        <v>927</v>
      </c>
      <c r="K1034" s="39"/>
      <c r="L1034" s="39"/>
      <c r="M1034" s="39"/>
      <c r="N1034" s="107">
        <f>SUM(N1031:N1033)</f>
        <v>0</v>
      </c>
      <c r="O1034" s="107">
        <f>SUM(O1031:O1033)</f>
        <v>14138956.178333342</v>
      </c>
      <c r="P1034" s="107">
        <f>SUM(P1031:P1033)</f>
        <v>0</v>
      </c>
      <c r="Q1034" s="107">
        <f>SUM(Q1031:Q1033)</f>
        <v>0</v>
      </c>
    </row>
    <row r="1035" spans="3:22" ht="13.5" thickTop="1" x14ac:dyDescent="0.3">
      <c r="E1035" s="8"/>
    </row>
    <row r="1036" spans="3:22" x14ac:dyDescent="0.3">
      <c r="C1036" s="105">
        <v>12.1</v>
      </c>
      <c r="E1036" s="106" t="s">
        <v>455</v>
      </c>
      <c r="K1036" s="39"/>
      <c r="L1036" s="39"/>
      <c r="M1036" s="39"/>
      <c r="N1036" s="39">
        <f>SUMIF($B$3:$B$1022,$C1036,$N$3:$N$1022)</f>
        <v>3347.92</v>
      </c>
      <c r="O1036" s="39">
        <f>SUMIF($B$3:$B$1022,$C1036,$O$3:$O$1022)</f>
        <v>3347.92</v>
      </c>
      <c r="P1036" s="39">
        <f>SUMIF($B$3:$B$1022,$C1036,$P$3:$P$1022)</f>
        <v>3347.92</v>
      </c>
      <c r="Q1036" s="39">
        <f>SUMIF($B$3:$B$1022,$C1036,$Q$3:$Q$1022)</f>
        <v>3347.92</v>
      </c>
    </row>
    <row r="1037" spans="3:22" x14ac:dyDescent="0.3">
      <c r="C1037" s="105">
        <v>12.2</v>
      </c>
      <c r="E1037" s="106" t="s">
        <v>456</v>
      </c>
      <c r="K1037" s="39"/>
      <c r="L1037" s="39"/>
      <c r="M1037" s="39"/>
      <c r="N1037" s="39">
        <f>SUMIF($B$3:$B$1022,$C1037,$N$3:$N$1022)</f>
        <v>0</v>
      </c>
      <c r="O1037" s="39">
        <f>SUMIF($B$3:$B$1022,$C1037,$O$3:$O$1022)</f>
        <v>0</v>
      </c>
      <c r="P1037" s="39">
        <f>SUMIF($B$3:$B$1022,$C1037,$P$3:$P$1022)</f>
        <v>0</v>
      </c>
      <c r="Q1037" s="39">
        <f>SUMIF($B$3:$B$1022,$C1037,$Q$3:$Q$1022)</f>
        <v>0</v>
      </c>
    </row>
    <row r="1038" spans="3:22" x14ac:dyDescent="0.3">
      <c r="C1038" s="105">
        <v>12.3</v>
      </c>
      <c r="E1038" s="106" t="s">
        <v>457</v>
      </c>
      <c r="K1038" s="39"/>
      <c r="L1038" s="39"/>
      <c r="M1038" s="39"/>
      <c r="N1038" s="39">
        <f>SUMIF($B$3:$B$1022,$C1038,$N$3:$N$1022)</f>
        <v>2288217.16</v>
      </c>
      <c r="O1038" s="39">
        <f>SUMIF($B$3:$B$1022,$C1038,$O$3:$O$1022)</f>
        <v>2574772.4</v>
      </c>
      <c r="P1038" s="39">
        <f>SUMIF($B$3:$B$1022,$C1038,$P$3:$P$1022)</f>
        <v>2629552.3199999998</v>
      </c>
      <c r="Q1038" s="39">
        <f>SUMIF($B$3:$B$1022,$C1038,$Q$3:$Q$1022)</f>
        <v>2700448.5899999994</v>
      </c>
    </row>
    <row r="1039" spans="3:22" ht="13.5" thickBot="1" x14ac:dyDescent="0.35">
      <c r="E1039" s="110" t="s">
        <v>928</v>
      </c>
      <c r="K1039" s="39"/>
      <c r="L1039" s="39"/>
      <c r="M1039" s="39"/>
      <c r="N1039" s="107">
        <f>SUM(N1036:N1038)</f>
        <v>2291565.08</v>
      </c>
      <c r="O1039" s="107">
        <f>SUM(O1036:O1038)</f>
        <v>2578120.3199999998</v>
      </c>
      <c r="P1039" s="107">
        <f>SUM(P1036:P1038)</f>
        <v>2632900.2399999998</v>
      </c>
      <c r="Q1039" s="107">
        <f>SUM(Q1036:Q1038)</f>
        <v>2703796.5099999993</v>
      </c>
    </row>
    <row r="1040" spans="3:22" ht="13.5" thickTop="1" x14ac:dyDescent="0.3">
      <c r="E1040" s="8"/>
      <c r="N1040" s="3">
        <f>N1027-N1034-N1039</f>
        <v>0</v>
      </c>
      <c r="O1040" s="3">
        <f t="shared" ref="O1040:Q1040" si="459">O1027-O1034-O1039</f>
        <v>-1.0710209608078003E-8</v>
      </c>
      <c r="P1040" s="3">
        <f t="shared" si="459"/>
        <v>0</v>
      </c>
      <c r="Q1040" s="3">
        <f t="shared" si="459"/>
        <v>0</v>
      </c>
    </row>
    <row r="1041" spans="1:15" x14ac:dyDescent="0.3">
      <c r="A1041" s="108" t="s">
        <v>933</v>
      </c>
      <c r="E1041" s="8"/>
      <c r="M1041" s="77"/>
    </row>
    <row r="1042" spans="1:15" ht="100.5" x14ac:dyDescent="0.3">
      <c r="E1042" s="8"/>
      <c r="M1042" s="100" t="s">
        <v>923</v>
      </c>
      <c r="O1042" s="61" t="s">
        <v>935</v>
      </c>
    </row>
    <row r="1043" spans="1:15" x14ac:dyDescent="0.3">
      <c r="E1043" s="8"/>
      <c r="O1043" s="129" t="s">
        <v>934</v>
      </c>
    </row>
    <row r="1044" spans="1:15" x14ac:dyDescent="0.3">
      <c r="E1044" s="8"/>
      <c r="O1044" s="129"/>
    </row>
    <row r="1045" spans="1:15" x14ac:dyDescent="0.3">
      <c r="E1045" s="8"/>
      <c r="O1045" s="129"/>
    </row>
    <row r="1046" spans="1:15" x14ac:dyDescent="0.3">
      <c r="E1046" s="8"/>
      <c r="O1046" s="129"/>
    </row>
    <row r="1047" spans="1:15" ht="128.25" customHeight="1" x14ac:dyDescent="0.3">
      <c r="E1047" s="8"/>
      <c r="O1047" s="129"/>
    </row>
    <row r="1048" spans="1:15" x14ac:dyDescent="0.3">
      <c r="E1048" s="8"/>
    </row>
    <row r="1049" spans="1:15" x14ac:dyDescent="0.3">
      <c r="E1049" s="8"/>
    </row>
    <row r="1050" spans="1:15" x14ac:dyDescent="0.3">
      <c r="E1050" s="8"/>
    </row>
    <row r="1051" spans="1:15" x14ac:dyDescent="0.3">
      <c r="E1051" s="8"/>
    </row>
    <row r="1052" spans="1:15" x14ac:dyDescent="0.3">
      <c r="E1052" s="8"/>
    </row>
    <row r="1053" spans="1:15" x14ac:dyDescent="0.3">
      <c r="E1053" s="8"/>
    </row>
    <row r="1054" spans="1:15" ht="12.4" customHeight="1" x14ac:dyDescent="0.3">
      <c r="E1054" s="8"/>
    </row>
    <row r="1055" spans="1:15" x14ac:dyDescent="0.3">
      <c r="E1055" s="8"/>
    </row>
    <row r="1056" spans="1:15" x14ac:dyDescent="0.3">
      <c r="E1056" s="8"/>
    </row>
    <row r="1057" spans="5:5" x14ac:dyDescent="0.3">
      <c r="E1057" s="8"/>
    </row>
    <row r="1058" spans="5:5" x14ac:dyDescent="0.3">
      <c r="E1058" s="8"/>
    </row>
    <row r="1059" spans="5:5" x14ac:dyDescent="0.3">
      <c r="E1059" s="8"/>
    </row>
    <row r="1060" spans="5:5" x14ac:dyDescent="0.3">
      <c r="E1060" s="8"/>
    </row>
    <row r="1061" spans="5:5" x14ac:dyDescent="0.3">
      <c r="E1061" s="8"/>
    </row>
    <row r="1062" spans="5:5" x14ac:dyDescent="0.3">
      <c r="E1062" s="8"/>
    </row>
    <row r="1063" spans="5:5" x14ac:dyDescent="0.3">
      <c r="E1063" s="8"/>
    </row>
    <row r="1064" spans="5:5" x14ac:dyDescent="0.3">
      <c r="E1064" s="8"/>
    </row>
    <row r="1065" spans="5:5" x14ac:dyDescent="0.3">
      <c r="E1065" s="8"/>
    </row>
    <row r="1066" spans="5:5" x14ac:dyDescent="0.3">
      <c r="E1066" s="8"/>
    </row>
    <row r="1067" spans="5:5" x14ac:dyDescent="0.3">
      <c r="E1067" s="8"/>
    </row>
    <row r="1068" spans="5:5" x14ac:dyDescent="0.3">
      <c r="E1068" s="8"/>
    </row>
    <row r="1069" spans="5:5" x14ac:dyDescent="0.3">
      <c r="E1069" s="8"/>
    </row>
    <row r="1070" spans="5:5" x14ac:dyDescent="0.3">
      <c r="E1070" s="8"/>
    </row>
    <row r="1071" spans="5:5" x14ac:dyDescent="0.3">
      <c r="E1071" s="8"/>
    </row>
    <row r="1072" spans="5:5" x14ac:dyDescent="0.3">
      <c r="E1072" s="8"/>
    </row>
    <row r="1073" spans="5:5" x14ac:dyDescent="0.3">
      <c r="E1073" s="8"/>
    </row>
    <row r="1074" spans="5:5" x14ac:dyDescent="0.3">
      <c r="E1074" s="8"/>
    </row>
    <row r="1075" spans="5:5" x14ac:dyDescent="0.3">
      <c r="E1075" s="8"/>
    </row>
    <row r="1076" spans="5:5" x14ac:dyDescent="0.3">
      <c r="E1076" s="8"/>
    </row>
    <row r="1077" spans="5:5" x14ac:dyDescent="0.3">
      <c r="E1077" s="8"/>
    </row>
    <row r="1078" spans="5:5" x14ac:dyDescent="0.3">
      <c r="E1078" s="8"/>
    </row>
    <row r="1079" spans="5:5" x14ac:dyDescent="0.3">
      <c r="E1079" s="8"/>
    </row>
    <row r="1080" spans="5:5" x14ac:dyDescent="0.3">
      <c r="E1080" s="8"/>
    </row>
    <row r="1081" spans="5:5" x14ac:dyDescent="0.3">
      <c r="E1081" s="8"/>
    </row>
    <row r="1082" spans="5:5" x14ac:dyDescent="0.3">
      <c r="E1082" s="8"/>
    </row>
    <row r="1083" spans="5:5" x14ac:dyDescent="0.3">
      <c r="E1083" s="8"/>
    </row>
    <row r="1084" spans="5:5" x14ac:dyDescent="0.3">
      <c r="E1084" s="8"/>
    </row>
  </sheetData>
  <mergeCells count="1">
    <mergeCell ref="O1043:O1047"/>
  </mergeCells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11" max="11" man="1"/>
    <brk id="333" min="11" max="11" man="1"/>
    <brk id="459" min="11" max="11" man="1"/>
    <brk id="585" min="11" max="11" man="1"/>
    <brk id="711" min="11" max="11" man="1"/>
    <brk id="837" min="11" max="11" man="1"/>
    <brk id="969" min="1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F1080"/>
  <sheetViews>
    <sheetView zoomScaleNormal="100" zoomScaleSheetLayoutView="100" zoomScalePageLayoutView="75" workbookViewId="0">
      <pane xSplit="43" ySplit="2" topLeftCell="AR1006" activePane="bottomRight" state="frozen"/>
      <selection pane="topRight" activeCell="AR1" sqref="AR1"/>
      <selection pane="bottomLeft" activeCell="A3" sqref="A3"/>
      <selection pane="bottomRight" activeCell="BD1036" sqref="BD1036"/>
    </sheetView>
  </sheetViews>
  <sheetFormatPr defaultRowHeight="13" x14ac:dyDescent="0.3"/>
  <cols>
    <col min="1" max="1" width="14.7265625" customWidth="1"/>
    <col min="2" max="2" width="5.7265625" style="1" customWidth="1"/>
    <col min="3" max="3" width="3.1796875" style="1" customWidth="1"/>
    <col min="4" max="4" width="106.7265625" customWidth="1"/>
    <col min="5" max="16" width="15.453125" hidden="1" customWidth="1"/>
    <col min="17" max="17" width="16.7265625" hidden="1" customWidth="1"/>
    <col min="18" max="29" width="15.453125" hidden="1" customWidth="1"/>
    <col min="30" max="30" width="18.1796875" hidden="1" customWidth="1"/>
    <col min="31" max="42" width="15.453125" hidden="1" customWidth="1"/>
    <col min="43" max="43" width="18.1796875" style="3" hidden="1" customWidth="1"/>
    <col min="44" max="46" width="17.26953125" style="3" customWidth="1"/>
    <col min="47" max="48" width="19.26953125" style="3" customWidth="1"/>
    <col min="49" max="49" width="20.1796875" style="3" customWidth="1"/>
    <col min="50" max="50" width="16" style="3" bestFit="1" customWidth="1"/>
    <col min="51" max="51" width="18.7265625" style="3" customWidth="1"/>
    <col min="52" max="52" width="20.54296875" style="3" bestFit="1" customWidth="1"/>
    <col min="53" max="56" width="22" style="3" bestFit="1" customWidth="1"/>
    <col min="57" max="57" width="2.81640625" customWidth="1"/>
    <col min="58" max="58" width="11.26953125" bestFit="1" customWidth="1"/>
  </cols>
  <sheetData>
    <row r="1" spans="2:56" ht="17.5" x14ac:dyDescent="0.35">
      <c r="D1" s="2" t="s">
        <v>0</v>
      </c>
      <c r="AW1" s="130"/>
      <c r="AX1" s="130"/>
      <c r="AY1" s="130"/>
      <c r="AZ1" s="130"/>
      <c r="BA1" s="130"/>
      <c r="BB1" s="130"/>
      <c r="BC1" s="130"/>
    </row>
    <row r="2" spans="2:56" ht="25.5" customHeight="1" x14ac:dyDescent="0.35">
      <c r="D2" s="4" t="s">
        <v>1</v>
      </c>
      <c r="E2" s="5">
        <v>44378</v>
      </c>
      <c r="F2" s="5">
        <v>44409</v>
      </c>
      <c r="G2" s="5">
        <v>44440</v>
      </c>
      <c r="H2" s="5">
        <v>44470</v>
      </c>
      <c r="I2" s="5">
        <v>44501</v>
      </c>
      <c r="J2" s="5">
        <v>44531</v>
      </c>
      <c r="K2" s="5">
        <v>44562</v>
      </c>
      <c r="L2" s="5">
        <v>44593</v>
      </c>
      <c r="M2" s="5">
        <v>44621</v>
      </c>
      <c r="N2" s="5">
        <v>44652</v>
      </c>
      <c r="O2" s="5">
        <v>44682</v>
      </c>
      <c r="P2" s="5">
        <v>44713</v>
      </c>
      <c r="Q2" s="6" t="s">
        <v>2</v>
      </c>
      <c r="R2" s="5">
        <v>44743</v>
      </c>
      <c r="S2" s="5">
        <v>44774</v>
      </c>
      <c r="T2" s="5">
        <v>44805</v>
      </c>
      <c r="U2" s="5">
        <v>44835</v>
      </c>
      <c r="V2" s="5">
        <v>44866</v>
      </c>
      <c r="W2" s="5">
        <v>44896</v>
      </c>
      <c r="X2" s="5">
        <v>44927</v>
      </c>
      <c r="Y2" s="5">
        <v>44958</v>
      </c>
      <c r="Z2" s="5">
        <v>44986</v>
      </c>
      <c r="AA2" s="5">
        <v>45017</v>
      </c>
      <c r="AB2" s="5">
        <v>45047</v>
      </c>
      <c r="AC2" s="5">
        <v>45078</v>
      </c>
      <c r="AD2" s="6" t="s">
        <v>3</v>
      </c>
      <c r="AE2" s="5">
        <v>45108</v>
      </c>
      <c r="AF2" s="5">
        <v>45139</v>
      </c>
      <c r="AG2" s="5">
        <v>45170</v>
      </c>
      <c r="AH2" s="5">
        <v>45200</v>
      </c>
      <c r="AI2" s="5">
        <v>45231</v>
      </c>
      <c r="AJ2" s="5">
        <v>45261</v>
      </c>
      <c r="AK2" s="5">
        <v>45292</v>
      </c>
      <c r="AL2" s="5">
        <v>45323</v>
      </c>
      <c r="AM2" s="5">
        <v>45352</v>
      </c>
      <c r="AN2" s="5">
        <v>45383</v>
      </c>
      <c r="AO2" s="5">
        <v>45413</v>
      </c>
      <c r="AP2" s="5">
        <v>45444</v>
      </c>
      <c r="AQ2" s="7" t="s">
        <v>4</v>
      </c>
      <c r="AR2" s="5">
        <v>45474</v>
      </c>
      <c r="AS2" s="5">
        <v>45505</v>
      </c>
      <c r="AT2" s="5">
        <v>45536</v>
      </c>
      <c r="AU2" s="5">
        <v>45566</v>
      </c>
      <c r="AV2" s="5">
        <v>45597</v>
      </c>
      <c r="AW2" s="5">
        <v>45627</v>
      </c>
      <c r="AX2" s="5">
        <v>45658</v>
      </c>
      <c r="AY2" s="5">
        <v>45689</v>
      </c>
      <c r="AZ2" s="5">
        <v>45717</v>
      </c>
      <c r="BA2" s="5">
        <v>45748</v>
      </c>
      <c r="BB2" s="5">
        <v>45778</v>
      </c>
      <c r="BC2" s="5">
        <v>45809</v>
      </c>
      <c r="BD2" s="7" t="s">
        <v>5</v>
      </c>
    </row>
    <row r="3" spans="2:56" x14ac:dyDescent="0.3">
      <c r="D3" s="8"/>
    </row>
    <row r="4" spans="2:56" ht="15.5" x14ac:dyDescent="0.35">
      <c r="C4" s="9" t="s">
        <v>6</v>
      </c>
      <c r="D4" s="10" t="s">
        <v>7</v>
      </c>
    </row>
    <row r="5" spans="2:56" x14ac:dyDescent="0.3">
      <c r="D5" s="8" t="s">
        <v>8</v>
      </c>
      <c r="E5" s="11">
        <v>299.12</v>
      </c>
      <c r="F5" s="11">
        <v>299.12</v>
      </c>
      <c r="G5" s="11">
        <v>299.12</v>
      </c>
      <c r="H5" s="11">
        <v>299.12</v>
      </c>
      <c r="I5" s="11">
        <v>299.12</v>
      </c>
      <c r="J5" s="11">
        <v>299.12</v>
      </c>
      <c r="K5" s="11">
        <v>284.56</v>
      </c>
      <c r="L5" s="11"/>
      <c r="M5" s="11"/>
      <c r="N5" s="11"/>
      <c r="O5" s="11"/>
      <c r="P5" s="11"/>
      <c r="Q5" s="12">
        <f>SUM(E5:P5)</f>
        <v>2079.2799999999997</v>
      </c>
      <c r="R5" s="11"/>
    </row>
    <row r="6" spans="2:56" x14ac:dyDescent="0.3">
      <c r="D6" s="8" t="s">
        <v>9</v>
      </c>
      <c r="E6" s="11">
        <v>250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>
        <f>SUM(E6:P6)</f>
        <v>250</v>
      </c>
      <c r="R6" s="11"/>
    </row>
    <row r="7" spans="2:56" ht="13.5" thickBot="1" x14ac:dyDescent="0.35">
      <c r="D7" s="8" t="s">
        <v>10</v>
      </c>
      <c r="E7" s="11">
        <f>14583.33+12992.71</f>
        <v>27576.04</v>
      </c>
      <c r="F7" s="11">
        <f>14583.33+12992.71</f>
        <v>27576.04</v>
      </c>
      <c r="G7" s="11">
        <f>14583.33+12992.71</f>
        <v>27576.04</v>
      </c>
      <c r="H7" s="11">
        <f>14583.33+12992.71</f>
        <v>27576.04</v>
      </c>
      <c r="I7" s="11">
        <f>14583.33+12992.71</f>
        <v>27576.04</v>
      </c>
      <c r="J7" s="11">
        <f>15000+12365.63</f>
        <v>27365.629999999997</v>
      </c>
      <c r="K7" s="11">
        <f>15000+12365.63</f>
        <v>27365.629999999997</v>
      </c>
      <c r="L7" s="11"/>
      <c r="M7" s="11"/>
      <c r="N7" s="11"/>
      <c r="O7" s="11"/>
      <c r="P7" s="11"/>
      <c r="Q7" s="12">
        <f>SUM(E7:P7)</f>
        <v>192611.46000000002</v>
      </c>
      <c r="R7" s="11"/>
    </row>
    <row r="8" spans="2:56" ht="13.5" thickBot="1" x14ac:dyDescent="0.35">
      <c r="D8" s="13" t="s">
        <v>11</v>
      </c>
      <c r="E8" s="14">
        <f t="shared" ref="E8:P8" si="0">SUM(E5:E7)</f>
        <v>28125.16</v>
      </c>
      <c r="F8" s="14">
        <f t="shared" si="0"/>
        <v>27875.16</v>
      </c>
      <c r="G8" s="14">
        <f t="shared" si="0"/>
        <v>27875.16</v>
      </c>
      <c r="H8" s="14">
        <f t="shared" si="0"/>
        <v>27875.16</v>
      </c>
      <c r="I8" s="14">
        <f t="shared" si="0"/>
        <v>27875.16</v>
      </c>
      <c r="J8" s="14">
        <f t="shared" si="0"/>
        <v>27664.749999999996</v>
      </c>
      <c r="K8" s="14">
        <f t="shared" si="0"/>
        <v>27650.19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>SUM(Q5:Q7)</f>
        <v>194940.74000000002</v>
      </c>
    </row>
    <row r="9" spans="2:56" x14ac:dyDescent="0.3">
      <c r="D9" s="15"/>
    </row>
    <row r="10" spans="2:56" ht="15.5" x14ac:dyDescent="0.35">
      <c r="C10" s="9" t="s">
        <v>6</v>
      </c>
      <c r="D10" s="16" t="s">
        <v>12</v>
      </c>
    </row>
    <row r="11" spans="2:56" x14ac:dyDescent="0.3">
      <c r="D11" s="8" t="s">
        <v>8</v>
      </c>
      <c r="E11" s="11">
        <v>530.41999999999996</v>
      </c>
      <c r="F11" s="11">
        <v>530.41999999999996</v>
      </c>
      <c r="G11" s="11">
        <v>530.41999999999996</v>
      </c>
      <c r="H11" s="11">
        <v>530.41999999999996</v>
      </c>
      <c r="I11" s="11">
        <v>530.41999999999996</v>
      </c>
      <c r="J11" s="11">
        <v>530.41999999999996</v>
      </c>
      <c r="K11" s="11">
        <v>530.41999999999996</v>
      </c>
      <c r="L11" s="11">
        <v>530.41999999999996</v>
      </c>
      <c r="M11" s="11">
        <v>530.41999999999996</v>
      </c>
      <c r="N11" s="11">
        <v>530.41999999999996</v>
      </c>
      <c r="O11" s="17">
        <v>530.41999999999996</v>
      </c>
      <c r="P11" s="11"/>
      <c r="Q11" s="12">
        <f>SUM(E11:P11)</f>
        <v>5834.62</v>
      </c>
      <c r="R11" s="11"/>
      <c r="S11" s="11"/>
    </row>
    <row r="12" spans="2:56" x14ac:dyDescent="0.3">
      <c r="D12" s="8" t="s">
        <v>9</v>
      </c>
      <c r="E12" s="11">
        <v>250</v>
      </c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1"/>
      <c r="Q12" s="12">
        <f>SUM(E12:P12)</f>
        <v>250</v>
      </c>
      <c r="R12" s="11"/>
      <c r="S12" s="11"/>
    </row>
    <row r="13" spans="2:56" ht="13.5" thickBot="1" x14ac:dyDescent="0.35">
      <c r="D13" s="8" t="s">
        <v>10</v>
      </c>
      <c r="E13" s="11">
        <f t="shared" ref="E13:L13" si="1">23333.33+24294.48</f>
        <v>47627.81</v>
      </c>
      <c r="F13" s="11">
        <f t="shared" si="1"/>
        <v>47627.81</v>
      </c>
      <c r="G13" s="11">
        <f t="shared" si="1"/>
        <v>47627.81</v>
      </c>
      <c r="H13" s="11">
        <f t="shared" si="1"/>
        <v>47627.81</v>
      </c>
      <c r="I13" s="11">
        <f t="shared" si="1"/>
        <v>47627.81</v>
      </c>
      <c r="J13" s="11">
        <f t="shared" si="1"/>
        <v>47627.81</v>
      </c>
      <c r="K13" s="11">
        <f t="shared" si="1"/>
        <v>47627.81</v>
      </c>
      <c r="L13" s="11">
        <f t="shared" si="1"/>
        <v>47627.81</v>
      </c>
      <c r="M13" s="11">
        <f>24166.67+23244.48</f>
        <v>47411.149999999994</v>
      </c>
      <c r="N13" s="11">
        <f>24166.67+23244.48</f>
        <v>47411.149999999994</v>
      </c>
      <c r="O13" s="17">
        <f>24166.67+23244.48</f>
        <v>47411.149999999994</v>
      </c>
      <c r="P13" s="11"/>
      <c r="Q13" s="12">
        <f>SUM(E13:P13)</f>
        <v>523255.93000000005</v>
      </c>
      <c r="R13" s="11"/>
      <c r="S13" s="11"/>
    </row>
    <row r="14" spans="2:56" ht="13.5" thickBot="1" x14ac:dyDescent="0.35">
      <c r="D14" s="18" t="s">
        <v>13</v>
      </c>
      <c r="E14" s="14">
        <f t="shared" ref="E14:P14" si="2">SUM(E11:E13)</f>
        <v>48408.229999999996</v>
      </c>
      <c r="F14" s="14">
        <f t="shared" si="2"/>
        <v>48158.229999999996</v>
      </c>
      <c r="G14" s="14">
        <f t="shared" si="2"/>
        <v>48158.229999999996</v>
      </c>
      <c r="H14" s="14">
        <f t="shared" si="2"/>
        <v>48158.229999999996</v>
      </c>
      <c r="I14" s="14">
        <f t="shared" si="2"/>
        <v>48158.229999999996</v>
      </c>
      <c r="J14" s="14">
        <f t="shared" si="2"/>
        <v>48158.229999999996</v>
      </c>
      <c r="K14" s="14">
        <f t="shared" si="2"/>
        <v>48158.229999999996</v>
      </c>
      <c r="L14" s="14">
        <f t="shared" si="2"/>
        <v>48158.229999999996</v>
      </c>
      <c r="M14" s="14">
        <f t="shared" si="2"/>
        <v>47941.569999999992</v>
      </c>
      <c r="N14" s="14">
        <f t="shared" si="2"/>
        <v>47941.569999999992</v>
      </c>
      <c r="O14" s="19">
        <f t="shared" si="2"/>
        <v>47941.569999999992</v>
      </c>
      <c r="P14" s="14">
        <f t="shared" si="2"/>
        <v>0</v>
      </c>
      <c r="Q14" s="14">
        <f>SUM(Q11:Q13)</f>
        <v>529340.55000000005</v>
      </c>
    </row>
    <row r="15" spans="2:56" x14ac:dyDescent="0.3">
      <c r="D15" s="15"/>
    </row>
    <row r="16" spans="2:56" ht="15.5" x14ac:dyDescent="0.35">
      <c r="B16" s="20">
        <v>1</v>
      </c>
      <c r="C16" s="1" t="s">
        <v>14</v>
      </c>
      <c r="D16" s="21" t="s">
        <v>15</v>
      </c>
    </row>
    <row r="17" spans="1:56" x14ac:dyDescent="0.3">
      <c r="D17" s="8" t="s">
        <v>8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f>SUM(E17:P17)</f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f>SUM(R17:AC17)</f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3">
        <f>SUM(AE17:AP17)</f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f>SUM(AR17:BC17)</f>
        <v>0</v>
      </c>
    </row>
    <row r="18" spans="1:56" x14ac:dyDescent="0.3">
      <c r="D18" s="8" t="s">
        <v>9</v>
      </c>
      <c r="E18" s="11">
        <v>250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>
        <f>SUM(E18:P18)</f>
        <v>250</v>
      </c>
      <c r="R18" s="11">
        <v>250</v>
      </c>
      <c r="AD18" s="12">
        <f>SUM(R18:AC18)</f>
        <v>250</v>
      </c>
      <c r="AE18" s="11">
        <v>250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">
        <f>SUM(AE18:AP18)</f>
        <v>250</v>
      </c>
      <c r="AR18" s="3">
        <v>250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f>SUM(AR18:BC18)</f>
        <v>250</v>
      </c>
    </row>
    <row r="19" spans="1:56" ht="13.5" thickBot="1" x14ac:dyDescent="0.35">
      <c r="A19" t="s">
        <v>16</v>
      </c>
      <c r="D19" s="8" t="s">
        <v>10</v>
      </c>
      <c r="E19" s="11">
        <f t="shared" ref="E19:N19" si="3">4166.67+9937.5</f>
        <v>14104.17</v>
      </c>
      <c r="F19" s="11">
        <f t="shared" si="3"/>
        <v>14104.17</v>
      </c>
      <c r="G19" s="11">
        <f t="shared" si="3"/>
        <v>14104.17</v>
      </c>
      <c r="H19" s="11">
        <f t="shared" si="3"/>
        <v>14104.17</v>
      </c>
      <c r="I19" s="11">
        <f t="shared" si="3"/>
        <v>14104.17</v>
      </c>
      <c r="J19" s="11">
        <f t="shared" si="3"/>
        <v>14104.17</v>
      </c>
      <c r="K19" s="11">
        <f t="shared" si="3"/>
        <v>14104.17</v>
      </c>
      <c r="L19" s="11">
        <f t="shared" si="3"/>
        <v>14104.17</v>
      </c>
      <c r="M19" s="11">
        <f t="shared" si="3"/>
        <v>14104.17</v>
      </c>
      <c r="N19" s="11">
        <f t="shared" si="3"/>
        <v>14104.17</v>
      </c>
      <c r="O19" s="11">
        <f>4583.33+9625</f>
        <v>14208.33</v>
      </c>
      <c r="P19" s="11">
        <f>4583.33+9625</f>
        <v>14208.33</v>
      </c>
      <c r="Q19" s="12">
        <f>SUM(E19:P19)</f>
        <v>169458.36</v>
      </c>
      <c r="R19" s="11">
        <f t="shared" ref="R19:AA19" si="4">4583.33+9625</f>
        <v>14208.33</v>
      </c>
      <c r="S19" s="11">
        <f t="shared" si="4"/>
        <v>14208.33</v>
      </c>
      <c r="T19" s="11">
        <f t="shared" si="4"/>
        <v>14208.33</v>
      </c>
      <c r="U19" s="11">
        <f t="shared" si="4"/>
        <v>14208.33</v>
      </c>
      <c r="V19" s="11">
        <f t="shared" si="4"/>
        <v>14208.33</v>
      </c>
      <c r="W19" s="11">
        <f t="shared" si="4"/>
        <v>14208.33</v>
      </c>
      <c r="X19" s="11">
        <f t="shared" si="4"/>
        <v>14208.33</v>
      </c>
      <c r="Y19" s="11">
        <f t="shared" si="4"/>
        <v>14208.33</v>
      </c>
      <c r="Z19" s="11">
        <f t="shared" si="4"/>
        <v>14208.33</v>
      </c>
      <c r="AA19" s="11">
        <f t="shared" si="4"/>
        <v>14208.33</v>
      </c>
      <c r="AB19" s="11">
        <f>4583.33+9281.25</f>
        <v>13864.58</v>
      </c>
      <c r="AC19" s="11">
        <f>4583.33+9281.25</f>
        <v>13864.58</v>
      </c>
      <c r="AD19" s="12">
        <f>SUM(R19:AC19)</f>
        <v>169812.45999999996</v>
      </c>
      <c r="AE19" s="11">
        <f t="shared" ref="AE19:AN19" si="5">4583.33+9281.25</f>
        <v>13864.58</v>
      </c>
      <c r="AF19" s="11">
        <f t="shared" si="5"/>
        <v>13864.58</v>
      </c>
      <c r="AG19" s="11">
        <f t="shared" si="5"/>
        <v>13864.58</v>
      </c>
      <c r="AH19" s="11">
        <f t="shared" si="5"/>
        <v>13864.58</v>
      </c>
      <c r="AI19" s="11">
        <f t="shared" si="5"/>
        <v>13864.58</v>
      </c>
      <c r="AJ19" s="11">
        <f t="shared" si="5"/>
        <v>13864.58</v>
      </c>
      <c r="AK19" s="11">
        <f t="shared" si="5"/>
        <v>13864.58</v>
      </c>
      <c r="AL19" s="11">
        <f t="shared" si="5"/>
        <v>13864.58</v>
      </c>
      <c r="AM19" s="11">
        <f t="shared" si="5"/>
        <v>13864.58</v>
      </c>
      <c r="AN19" s="11">
        <f t="shared" si="5"/>
        <v>13864.58</v>
      </c>
      <c r="AO19" s="12">
        <f>5000+8937.5</f>
        <v>13937.5</v>
      </c>
      <c r="AP19" s="12">
        <f>5000+8937.5</f>
        <v>13937.5</v>
      </c>
      <c r="AQ19" s="3">
        <f>SUM(AE19:AP19)</f>
        <v>166520.79999999999</v>
      </c>
      <c r="AR19" s="3">
        <v>13937.5</v>
      </c>
      <c r="AS19" s="3">
        <v>13937.5</v>
      </c>
      <c r="AT19" s="3">
        <v>13937.5</v>
      </c>
      <c r="AU19" s="3">
        <v>13937.5</v>
      </c>
      <c r="AV19" s="3">
        <v>13937.5</v>
      </c>
      <c r="AW19" s="3">
        <v>13937.5</v>
      </c>
      <c r="AX19" s="3">
        <v>13937.5</v>
      </c>
      <c r="AY19" s="3">
        <v>13937.5</v>
      </c>
      <c r="AZ19" s="3">
        <v>13937.5</v>
      </c>
      <c r="BA19" s="3">
        <v>13937.5</v>
      </c>
      <c r="BB19" s="3">
        <v>13979.17</v>
      </c>
      <c r="BC19" s="3">
        <v>13979.17</v>
      </c>
      <c r="BD19" s="3">
        <f>SUM(AR19:BC19)</f>
        <v>167333.34000000003</v>
      </c>
    </row>
    <row r="20" spans="1:56" ht="13.5" thickBot="1" x14ac:dyDescent="0.35">
      <c r="D20" s="18" t="s">
        <v>17</v>
      </c>
      <c r="E20" s="14">
        <f t="shared" ref="E20:AC20" si="6">SUM(E17:E19)</f>
        <v>14354.17</v>
      </c>
      <c r="F20" s="14">
        <f t="shared" si="6"/>
        <v>14104.17</v>
      </c>
      <c r="G20" s="14">
        <f t="shared" si="6"/>
        <v>14104.17</v>
      </c>
      <c r="H20" s="14">
        <f t="shared" si="6"/>
        <v>14104.17</v>
      </c>
      <c r="I20" s="14">
        <f t="shared" si="6"/>
        <v>14104.17</v>
      </c>
      <c r="J20" s="14">
        <f t="shared" si="6"/>
        <v>14104.17</v>
      </c>
      <c r="K20" s="14">
        <f t="shared" si="6"/>
        <v>14104.17</v>
      </c>
      <c r="L20" s="14">
        <f t="shared" si="6"/>
        <v>14104.17</v>
      </c>
      <c r="M20" s="14">
        <f t="shared" si="6"/>
        <v>14104.17</v>
      </c>
      <c r="N20" s="14">
        <f t="shared" si="6"/>
        <v>14104.17</v>
      </c>
      <c r="O20" s="14">
        <f t="shared" si="6"/>
        <v>14208.33</v>
      </c>
      <c r="P20" s="14">
        <f t="shared" si="6"/>
        <v>14208.33</v>
      </c>
      <c r="Q20" s="14">
        <f>SUM(Q17:Q19)</f>
        <v>169708.36</v>
      </c>
      <c r="R20" s="14">
        <f t="shared" si="6"/>
        <v>14458.33</v>
      </c>
      <c r="S20" s="14">
        <f t="shared" si="6"/>
        <v>14208.33</v>
      </c>
      <c r="T20" s="14">
        <f t="shared" si="6"/>
        <v>14208.33</v>
      </c>
      <c r="U20" s="14">
        <f t="shared" si="6"/>
        <v>14208.33</v>
      </c>
      <c r="V20" s="14">
        <f t="shared" si="6"/>
        <v>14208.33</v>
      </c>
      <c r="W20" s="14">
        <f t="shared" si="6"/>
        <v>14208.33</v>
      </c>
      <c r="X20" s="14">
        <f t="shared" si="6"/>
        <v>14208.33</v>
      </c>
      <c r="Y20" s="14">
        <f t="shared" si="6"/>
        <v>14208.33</v>
      </c>
      <c r="Z20" s="14">
        <f t="shared" si="6"/>
        <v>14208.33</v>
      </c>
      <c r="AA20" s="14">
        <f t="shared" si="6"/>
        <v>14208.33</v>
      </c>
      <c r="AB20" s="14">
        <f t="shared" si="6"/>
        <v>13864.58</v>
      </c>
      <c r="AC20" s="14">
        <f t="shared" si="6"/>
        <v>13864.58</v>
      </c>
      <c r="AD20" s="14">
        <f>SUM(AD17:AD19)</f>
        <v>170062.45999999996</v>
      </c>
      <c r="AE20" s="14">
        <f>SUM(AE17:AE19)</f>
        <v>14114.58</v>
      </c>
      <c r="AF20" s="14">
        <f>SUM(AF17:AF19)</f>
        <v>13864.58</v>
      </c>
      <c r="AG20" s="14">
        <f t="shared" ref="AG20:AP20" si="7">SUM(AG17:AG19)</f>
        <v>13864.58</v>
      </c>
      <c r="AH20" s="14">
        <f t="shared" si="7"/>
        <v>13864.58</v>
      </c>
      <c r="AI20" s="14">
        <f t="shared" si="7"/>
        <v>13864.58</v>
      </c>
      <c r="AJ20" s="14">
        <f t="shared" si="7"/>
        <v>13864.58</v>
      </c>
      <c r="AK20" s="14">
        <f t="shared" si="7"/>
        <v>13864.58</v>
      </c>
      <c r="AL20" s="14">
        <f t="shared" si="7"/>
        <v>13864.58</v>
      </c>
      <c r="AM20" s="14">
        <f t="shared" si="7"/>
        <v>13864.58</v>
      </c>
      <c r="AN20" s="14">
        <f t="shared" si="7"/>
        <v>13864.58</v>
      </c>
      <c r="AO20" s="14">
        <f t="shared" si="7"/>
        <v>13937.5</v>
      </c>
      <c r="AP20" s="14">
        <f t="shared" si="7"/>
        <v>13937.5</v>
      </c>
      <c r="AQ20" s="22">
        <f>SUM(AQ17:AQ19)</f>
        <v>166770.79999999999</v>
      </c>
      <c r="AR20" s="22">
        <f>SUM(AR17:AR19)</f>
        <v>14187.5</v>
      </c>
      <c r="AS20" s="22">
        <f t="shared" ref="AS20:BA20" si="8">SUM(AS17:AS19)</f>
        <v>13937.5</v>
      </c>
      <c r="AT20" s="22">
        <f t="shared" si="8"/>
        <v>13937.5</v>
      </c>
      <c r="AU20" s="22">
        <f t="shared" si="8"/>
        <v>13937.5</v>
      </c>
      <c r="AV20" s="22">
        <f t="shared" si="8"/>
        <v>13937.5</v>
      </c>
      <c r="AW20" s="22">
        <f t="shared" si="8"/>
        <v>13937.5</v>
      </c>
      <c r="AX20" s="22">
        <f t="shared" si="8"/>
        <v>13937.5</v>
      </c>
      <c r="AY20" s="22">
        <f t="shared" si="8"/>
        <v>13937.5</v>
      </c>
      <c r="AZ20" s="22">
        <f t="shared" si="8"/>
        <v>13937.5</v>
      </c>
      <c r="BA20" s="22">
        <f t="shared" si="8"/>
        <v>13937.5</v>
      </c>
      <c r="BB20" s="22">
        <f>SUM(BB17:BB19)</f>
        <v>13979.17</v>
      </c>
      <c r="BC20" s="22">
        <f>SUM(BC17:BC19)</f>
        <v>13979.17</v>
      </c>
      <c r="BD20" s="98">
        <f>SUM(BD17:BD19)</f>
        <v>167583.34000000003</v>
      </c>
    </row>
    <row r="21" spans="1:56" x14ac:dyDescent="0.3">
      <c r="D21" s="23"/>
    </row>
    <row r="22" spans="1:56" ht="15.75" customHeight="1" x14ac:dyDescent="0.35">
      <c r="B22" s="20">
        <f>+B16+1</f>
        <v>2</v>
      </c>
      <c r="C22" s="24" t="s">
        <v>14</v>
      </c>
      <c r="D22" s="25" t="s">
        <v>18</v>
      </c>
    </row>
    <row r="23" spans="1:56" x14ac:dyDescent="0.3">
      <c r="D23" s="8" t="s">
        <v>8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f>SUM(E23:P23)</f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f>SUM(R23:AC23)</f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3">
        <f>SUM(AE23:AP23)</f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f>SUM(AR23:BC23)</f>
        <v>0</v>
      </c>
    </row>
    <row r="24" spans="1:56" x14ac:dyDescent="0.3">
      <c r="D24" s="8" t="s">
        <v>9</v>
      </c>
      <c r="E24" s="11">
        <v>250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>
        <f>SUM(E24:P24)</f>
        <v>250</v>
      </c>
      <c r="R24" s="11">
        <v>250</v>
      </c>
      <c r="AD24" s="12">
        <f>SUM(R24:AC24)</f>
        <v>250</v>
      </c>
      <c r="AE24" s="11">
        <v>250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">
        <f>SUM(AE24:AP24)</f>
        <v>250</v>
      </c>
      <c r="AR24" s="3">
        <v>250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f>SUM(AR24:BC24)</f>
        <v>250</v>
      </c>
    </row>
    <row r="25" spans="1:56" ht="13.5" thickBot="1" x14ac:dyDescent="0.35">
      <c r="A25" t="s">
        <v>19</v>
      </c>
      <c r="D25" s="8" t="s">
        <v>10</v>
      </c>
      <c r="E25" s="11">
        <v>55951.040000000001</v>
      </c>
      <c r="F25" s="11">
        <v>55951.040000000001</v>
      </c>
      <c r="G25" s="11">
        <v>55951.040000000001</v>
      </c>
      <c r="H25" s="11">
        <v>55951.040000000001</v>
      </c>
      <c r="I25" s="11">
        <v>55951.040000000001</v>
      </c>
      <c r="J25" s="11">
        <v>55951.040000000001</v>
      </c>
      <c r="K25" s="11">
        <v>55951.040000000001</v>
      </c>
      <c r="L25" s="11">
        <v>55951.040000000001</v>
      </c>
      <c r="M25" s="11">
        <v>55951.040000000001</v>
      </c>
      <c r="N25" s="11">
        <v>55951.040000000001</v>
      </c>
      <c r="O25" s="11">
        <v>55951.040000000001</v>
      </c>
      <c r="P25" s="11">
        <v>55951.040000000001</v>
      </c>
      <c r="Q25" s="12">
        <f>SUM(E25:P25)</f>
        <v>671412.48</v>
      </c>
      <c r="R25" s="11">
        <f>20833.33+35143.75</f>
        <v>55977.08</v>
      </c>
      <c r="S25" s="11">
        <f t="shared" ref="S25:AC25" si="9">20833.33+35143.75</f>
        <v>55977.08</v>
      </c>
      <c r="T25" s="11">
        <f t="shared" si="9"/>
        <v>55977.08</v>
      </c>
      <c r="U25" s="11">
        <f t="shared" si="9"/>
        <v>55977.08</v>
      </c>
      <c r="V25" s="11">
        <f t="shared" si="9"/>
        <v>55977.08</v>
      </c>
      <c r="W25" s="11">
        <f t="shared" si="9"/>
        <v>55977.08</v>
      </c>
      <c r="X25" s="11">
        <f t="shared" si="9"/>
        <v>55977.08</v>
      </c>
      <c r="Y25" s="11">
        <f t="shared" si="9"/>
        <v>55977.08</v>
      </c>
      <c r="Z25" s="11">
        <f t="shared" si="9"/>
        <v>55977.08</v>
      </c>
      <c r="AA25" s="11">
        <f t="shared" si="9"/>
        <v>55977.08</v>
      </c>
      <c r="AB25" s="11">
        <f t="shared" si="9"/>
        <v>55977.08</v>
      </c>
      <c r="AC25" s="11">
        <f t="shared" si="9"/>
        <v>55977.08</v>
      </c>
      <c r="AD25" s="12">
        <f>SUM(R25:AC25)</f>
        <v>671724.96</v>
      </c>
      <c r="AE25" s="12">
        <f>22083.33+33841.67</f>
        <v>55925</v>
      </c>
      <c r="AF25" s="12">
        <f t="shared" ref="AF25:AP25" si="10">22083.33+33841.67</f>
        <v>55925</v>
      </c>
      <c r="AG25" s="12">
        <f t="shared" si="10"/>
        <v>55925</v>
      </c>
      <c r="AH25" s="12">
        <f t="shared" si="10"/>
        <v>55925</v>
      </c>
      <c r="AI25" s="12">
        <f t="shared" si="10"/>
        <v>55925</v>
      </c>
      <c r="AJ25" s="12">
        <f t="shared" si="10"/>
        <v>55925</v>
      </c>
      <c r="AK25" s="12">
        <f t="shared" si="10"/>
        <v>55925</v>
      </c>
      <c r="AL25" s="12">
        <f t="shared" si="10"/>
        <v>55925</v>
      </c>
      <c r="AM25" s="12">
        <f t="shared" si="10"/>
        <v>55925</v>
      </c>
      <c r="AN25" s="12">
        <f t="shared" si="10"/>
        <v>55925</v>
      </c>
      <c r="AO25" s="12">
        <f t="shared" si="10"/>
        <v>55925</v>
      </c>
      <c r="AP25" s="12">
        <f t="shared" si="10"/>
        <v>55925</v>
      </c>
      <c r="AQ25" s="3">
        <f>SUM(AE25:AP25)</f>
        <v>671100</v>
      </c>
      <c r="AR25" s="3">
        <v>55794.79</v>
      </c>
      <c r="AS25" s="3">
        <v>55794.79</v>
      </c>
      <c r="AT25" s="3">
        <v>55794.79</v>
      </c>
      <c r="AU25" s="3">
        <v>55794.79</v>
      </c>
      <c r="AV25" s="3">
        <v>55794.79</v>
      </c>
      <c r="AW25" s="3">
        <v>55794.79</v>
      </c>
      <c r="AX25" s="3">
        <v>55794.79</v>
      </c>
      <c r="AY25" s="3">
        <v>55794.79</v>
      </c>
      <c r="AZ25" s="3">
        <v>55794.79</v>
      </c>
      <c r="BA25" s="3">
        <v>55794.79</v>
      </c>
      <c r="BB25" s="3">
        <v>55794.79</v>
      </c>
      <c r="BC25" s="3">
        <v>55794.79</v>
      </c>
      <c r="BD25" s="3">
        <f>SUM(AR25:BC25)</f>
        <v>669537.48</v>
      </c>
    </row>
    <row r="26" spans="1:56" ht="13.5" thickBot="1" x14ac:dyDescent="0.35">
      <c r="D26" s="13" t="s">
        <v>20</v>
      </c>
      <c r="E26" s="14">
        <f t="shared" ref="E26:AC26" si="11">SUM(E23:E25)</f>
        <v>56201.04</v>
      </c>
      <c r="F26" s="14">
        <f t="shared" si="11"/>
        <v>55951.040000000001</v>
      </c>
      <c r="G26" s="14">
        <f t="shared" si="11"/>
        <v>55951.040000000001</v>
      </c>
      <c r="H26" s="14">
        <f t="shared" si="11"/>
        <v>55951.040000000001</v>
      </c>
      <c r="I26" s="14">
        <f t="shared" si="11"/>
        <v>55951.040000000001</v>
      </c>
      <c r="J26" s="14">
        <f t="shared" si="11"/>
        <v>55951.040000000001</v>
      </c>
      <c r="K26" s="14">
        <f t="shared" si="11"/>
        <v>55951.040000000001</v>
      </c>
      <c r="L26" s="14">
        <f t="shared" si="11"/>
        <v>55951.040000000001</v>
      </c>
      <c r="M26" s="14">
        <f t="shared" si="11"/>
        <v>55951.040000000001</v>
      </c>
      <c r="N26" s="14">
        <f t="shared" si="11"/>
        <v>55951.040000000001</v>
      </c>
      <c r="O26" s="14">
        <f t="shared" si="11"/>
        <v>55951.040000000001</v>
      </c>
      <c r="P26" s="14">
        <f t="shared" si="11"/>
        <v>55951.040000000001</v>
      </c>
      <c r="Q26" s="14">
        <f>SUM(Q23:Q25)</f>
        <v>671662.48</v>
      </c>
      <c r="R26" s="14">
        <f t="shared" si="11"/>
        <v>56227.08</v>
      </c>
      <c r="S26" s="14">
        <f t="shared" si="11"/>
        <v>55977.08</v>
      </c>
      <c r="T26" s="14">
        <f t="shared" si="11"/>
        <v>55977.08</v>
      </c>
      <c r="U26" s="14">
        <f t="shared" si="11"/>
        <v>55977.08</v>
      </c>
      <c r="V26" s="14">
        <f t="shared" si="11"/>
        <v>55977.08</v>
      </c>
      <c r="W26" s="14">
        <f t="shared" si="11"/>
        <v>55977.08</v>
      </c>
      <c r="X26" s="14">
        <f t="shared" si="11"/>
        <v>55977.08</v>
      </c>
      <c r="Y26" s="14">
        <f t="shared" si="11"/>
        <v>55977.08</v>
      </c>
      <c r="Z26" s="14">
        <f t="shared" si="11"/>
        <v>55977.08</v>
      </c>
      <c r="AA26" s="14">
        <f t="shared" si="11"/>
        <v>55977.08</v>
      </c>
      <c r="AB26" s="14">
        <f t="shared" si="11"/>
        <v>55977.08</v>
      </c>
      <c r="AC26" s="14">
        <f t="shared" si="11"/>
        <v>55977.08</v>
      </c>
      <c r="AD26" s="14">
        <f>SUM(AD23:AD25)</f>
        <v>671974.96</v>
      </c>
      <c r="AE26" s="14">
        <f>SUM(AE23:AE25)</f>
        <v>56175</v>
      </c>
      <c r="AF26" s="14">
        <f>SUM(AF23:AF25)</f>
        <v>55925</v>
      </c>
      <c r="AG26" s="14">
        <f t="shared" ref="AG26:AP26" si="12">SUM(AG23:AG25)</f>
        <v>55925</v>
      </c>
      <c r="AH26" s="14">
        <f t="shared" si="12"/>
        <v>55925</v>
      </c>
      <c r="AI26" s="14">
        <f t="shared" si="12"/>
        <v>55925</v>
      </c>
      <c r="AJ26" s="14">
        <f t="shared" si="12"/>
        <v>55925</v>
      </c>
      <c r="AK26" s="14">
        <f t="shared" si="12"/>
        <v>55925</v>
      </c>
      <c r="AL26" s="14">
        <f t="shared" si="12"/>
        <v>55925</v>
      </c>
      <c r="AM26" s="14">
        <f t="shared" si="12"/>
        <v>55925</v>
      </c>
      <c r="AN26" s="14">
        <f t="shared" si="12"/>
        <v>55925</v>
      </c>
      <c r="AO26" s="14">
        <f t="shared" si="12"/>
        <v>55925</v>
      </c>
      <c r="AP26" s="14">
        <f t="shared" si="12"/>
        <v>55925</v>
      </c>
      <c r="AQ26" s="22">
        <f>SUM(AQ23:AQ25)</f>
        <v>671350</v>
      </c>
      <c r="AR26" s="22">
        <f>SUM(AR23:AR25)</f>
        <v>56044.79</v>
      </c>
      <c r="AS26" s="22">
        <f t="shared" ref="AS26:BD26" si="13">SUM(AS23:AS25)</f>
        <v>55794.79</v>
      </c>
      <c r="AT26" s="22">
        <f t="shared" si="13"/>
        <v>55794.79</v>
      </c>
      <c r="AU26" s="22">
        <f t="shared" si="13"/>
        <v>55794.79</v>
      </c>
      <c r="AV26" s="22">
        <f t="shared" si="13"/>
        <v>55794.79</v>
      </c>
      <c r="AW26" s="22">
        <f t="shared" si="13"/>
        <v>55794.79</v>
      </c>
      <c r="AX26" s="22">
        <f t="shared" si="13"/>
        <v>55794.79</v>
      </c>
      <c r="AY26" s="22">
        <f t="shared" si="13"/>
        <v>55794.79</v>
      </c>
      <c r="AZ26" s="22">
        <f t="shared" si="13"/>
        <v>55794.79</v>
      </c>
      <c r="BA26" s="22">
        <f t="shared" si="13"/>
        <v>55794.79</v>
      </c>
      <c r="BB26" s="22">
        <f t="shared" si="13"/>
        <v>55794.79</v>
      </c>
      <c r="BC26" s="22">
        <f t="shared" si="13"/>
        <v>55794.79</v>
      </c>
      <c r="BD26" s="98">
        <f t="shared" si="13"/>
        <v>669787.48</v>
      </c>
    </row>
    <row r="27" spans="1:56" x14ac:dyDescent="0.3">
      <c r="D27" s="23"/>
    </row>
    <row r="28" spans="1:56" ht="15.75" customHeight="1" x14ac:dyDescent="0.35">
      <c r="B28" s="20">
        <f>+B22+1</f>
        <v>3</v>
      </c>
      <c r="C28" s="24" t="s">
        <v>14</v>
      </c>
      <c r="D28" s="25" t="s">
        <v>21</v>
      </c>
    </row>
    <row r="29" spans="1:56" x14ac:dyDescent="0.3">
      <c r="D29" s="8" t="s">
        <v>8</v>
      </c>
      <c r="E29" s="26">
        <v>487.5</v>
      </c>
      <c r="F29" s="26">
        <v>487.5</v>
      </c>
      <c r="G29" s="26">
        <v>487.5</v>
      </c>
      <c r="H29" s="26">
        <v>487.5</v>
      </c>
      <c r="I29" s="26">
        <v>487.5</v>
      </c>
      <c r="J29" s="26">
        <v>487.5</v>
      </c>
      <c r="K29" s="26">
        <v>487.5</v>
      </c>
      <c r="L29" s="26">
        <v>487.5</v>
      </c>
      <c r="M29" s="26">
        <v>487.5</v>
      </c>
      <c r="N29" s="26">
        <v>487.5</v>
      </c>
      <c r="O29" s="26">
        <v>487.5</v>
      </c>
      <c r="P29" s="26">
        <v>472.08</v>
      </c>
      <c r="Q29" s="12">
        <f>SUM(E29:P29)</f>
        <v>5834.58</v>
      </c>
      <c r="R29" s="26">
        <v>472.08</v>
      </c>
      <c r="S29" s="26">
        <v>472.08</v>
      </c>
      <c r="T29" s="26">
        <v>472.08</v>
      </c>
      <c r="U29" s="26">
        <v>472.08</v>
      </c>
      <c r="V29" s="26">
        <v>472.08</v>
      </c>
      <c r="W29" s="26">
        <v>472.08</v>
      </c>
      <c r="X29" s="26">
        <v>472.08</v>
      </c>
      <c r="Y29" s="26">
        <v>472.08</v>
      </c>
      <c r="Z29" s="26">
        <v>472.08</v>
      </c>
      <c r="AA29" s="26">
        <v>472.08</v>
      </c>
      <c r="AB29" s="26">
        <v>472.08</v>
      </c>
      <c r="AC29" s="26">
        <v>455.83</v>
      </c>
      <c r="AD29" s="12">
        <f>SUM(R29:AC29)</f>
        <v>5648.71</v>
      </c>
      <c r="AE29" s="26">
        <v>455.83</v>
      </c>
      <c r="AF29" s="26">
        <v>455.83</v>
      </c>
      <c r="AG29" s="26">
        <v>455.83</v>
      </c>
      <c r="AH29" s="26">
        <v>455.83</v>
      </c>
      <c r="AI29" s="26">
        <v>455.83</v>
      </c>
      <c r="AJ29" s="26">
        <v>455.83</v>
      </c>
      <c r="AK29" s="26">
        <v>455.83</v>
      </c>
      <c r="AL29" s="26">
        <v>455.83</v>
      </c>
      <c r="AM29" s="26">
        <v>455.83</v>
      </c>
      <c r="AN29" s="26">
        <v>455.83</v>
      </c>
      <c r="AO29" s="26">
        <v>455.83</v>
      </c>
      <c r="AP29" s="27">
        <v>438.75</v>
      </c>
      <c r="AQ29" s="3">
        <f>SUM(AE29:AP29)</f>
        <v>5452.88</v>
      </c>
      <c r="AR29" s="28">
        <v>438.75</v>
      </c>
      <c r="AS29" s="28">
        <v>438.75</v>
      </c>
      <c r="AT29" s="28">
        <v>438.75</v>
      </c>
      <c r="AU29" s="28">
        <v>438.75</v>
      </c>
      <c r="AV29" s="28">
        <v>438.75</v>
      </c>
      <c r="AW29" s="28">
        <v>438.75</v>
      </c>
      <c r="AX29" s="28">
        <v>438.75</v>
      </c>
      <c r="AY29" s="28">
        <v>438.75</v>
      </c>
      <c r="AZ29" s="28">
        <v>438.75</v>
      </c>
      <c r="BA29" s="28">
        <v>438.75</v>
      </c>
      <c r="BB29" s="28">
        <v>438.75</v>
      </c>
      <c r="BC29" s="28">
        <v>438.75</v>
      </c>
      <c r="BD29" s="3">
        <f>SUM(AR29:BC29)</f>
        <v>5265</v>
      </c>
    </row>
    <row r="30" spans="1:56" x14ac:dyDescent="0.3">
      <c r="D30" s="8" t="s">
        <v>9</v>
      </c>
      <c r="E30" s="11">
        <v>250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>
        <f>SUM(E30:P30)</f>
        <v>250</v>
      </c>
      <c r="R30" s="11">
        <v>250</v>
      </c>
      <c r="AD30" s="12">
        <f>SUM(R30:AC30)</f>
        <v>250</v>
      </c>
      <c r="AE30" s="11">
        <v>250</v>
      </c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">
        <f>SUM(AE30:AP30)</f>
        <v>250</v>
      </c>
      <c r="AR30" s="28">
        <v>0</v>
      </c>
      <c r="BD30" s="3">
        <f>SUM(AR30:BC30)</f>
        <v>0</v>
      </c>
    </row>
    <row r="31" spans="1:56" ht="13.5" thickBot="1" x14ac:dyDescent="0.35">
      <c r="A31" t="s">
        <v>22</v>
      </c>
      <c r="D31" s="8" t="s">
        <v>10</v>
      </c>
      <c r="E31" s="11">
        <v>42065.63</v>
      </c>
      <c r="F31" s="11">
        <v>42065.63</v>
      </c>
      <c r="G31" s="11">
        <v>42065.63</v>
      </c>
      <c r="H31" s="11">
        <v>42065.63</v>
      </c>
      <c r="I31" s="11">
        <v>42065.63</v>
      </c>
      <c r="J31" s="11">
        <v>42065.63</v>
      </c>
      <c r="K31" s="11">
        <v>42065.63</v>
      </c>
      <c r="L31" s="11">
        <v>42065.63</v>
      </c>
      <c r="M31" s="11">
        <v>42065.63</v>
      </c>
      <c r="N31" s="11">
        <v>42065.63</v>
      </c>
      <c r="O31" s="11">
        <v>42065.63</v>
      </c>
      <c r="P31" s="11">
        <v>42065.63</v>
      </c>
      <c r="Q31" s="12">
        <f>SUM(E31:P31)</f>
        <v>504787.56</v>
      </c>
      <c r="R31" s="11">
        <v>42089.58</v>
      </c>
      <c r="S31" s="11">
        <v>42089.58</v>
      </c>
      <c r="T31" s="11">
        <v>42089.58</v>
      </c>
      <c r="U31" s="11">
        <v>42089.58</v>
      </c>
      <c r="V31" s="11">
        <v>42089.58</v>
      </c>
      <c r="W31" s="11">
        <v>42089.58</v>
      </c>
      <c r="X31" s="11">
        <v>42089.58</v>
      </c>
      <c r="Y31" s="11">
        <v>42089.58</v>
      </c>
      <c r="Z31" s="11">
        <v>42089.58</v>
      </c>
      <c r="AA31" s="11">
        <v>42089.58</v>
      </c>
      <c r="AB31" s="11">
        <v>42089.58</v>
      </c>
      <c r="AC31" s="11">
        <v>42089.58</v>
      </c>
      <c r="AD31" s="12">
        <f>SUM(R31:AC31)</f>
        <v>505074.96000000014</v>
      </c>
      <c r="AE31" s="12">
        <v>42069.79</v>
      </c>
      <c r="AF31" s="12">
        <v>42069.79</v>
      </c>
      <c r="AG31" s="12">
        <v>42069.79</v>
      </c>
      <c r="AH31" s="12">
        <v>42069.79</v>
      </c>
      <c r="AI31" s="12">
        <v>42069.79</v>
      </c>
      <c r="AJ31" s="12">
        <v>42069.79</v>
      </c>
      <c r="AK31" s="12">
        <v>42069.79</v>
      </c>
      <c r="AL31" s="12">
        <v>42069.79</v>
      </c>
      <c r="AM31" s="12">
        <v>42069.79</v>
      </c>
      <c r="AN31" s="12">
        <v>42069.79</v>
      </c>
      <c r="AO31" s="12">
        <v>42069.79</v>
      </c>
      <c r="AP31" s="12">
        <v>42069.79</v>
      </c>
      <c r="AQ31" s="3">
        <f>SUM(AE31:AP31)</f>
        <v>504837.47999999992</v>
      </c>
      <c r="AR31" s="3">
        <v>42069.79</v>
      </c>
      <c r="AS31" s="3">
        <v>42006.25</v>
      </c>
      <c r="AT31" s="3">
        <v>42006.25</v>
      </c>
      <c r="AU31" s="3">
        <v>42006.25</v>
      </c>
      <c r="AV31" s="3">
        <v>42006.25</v>
      </c>
      <c r="AW31" s="3">
        <v>42006.25</v>
      </c>
      <c r="AX31" s="3">
        <v>42006.25</v>
      </c>
      <c r="AY31" s="3">
        <v>42006.25</v>
      </c>
      <c r="AZ31" s="3">
        <v>42006.25</v>
      </c>
      <c r="BA31" s="3">
        <v>42006.25</v>
      </c>
      <c r="BB31" s="3">
        <v>42006.25</v>
      </c>
      <c r="BC31" s="3">
        <v>42006.25</v>
      </c>
      <c r="BD31" s="3">
        <f>SUM(AR31:BC31)</f>
        <v>504138.54000000004</v>
      </c>
    </row>
    <row r="32" spans="1:56" ht="13.5" thickBot="1" x14ac:dyDescent="0.35">
      <c r="D32" s="13" t="s">
        <v>23</v>
      </c>
      <c r="E32" s="14">
        <f t="shared" ref="E32:P32" si="14">SUM(E29:E31)</f>
        <v>42803.13</v>
      </c>
      <c r="F32" s="14">
        <f t="shared" si="14"/>
        <v>42553.13</v>
      </c>
      <c r="G32" s="14">
        <f t="shared" si="14"/>
        <v>42553.13</v>
      </c>
      <c r="H32" s="14">
        <f t="shared" si="14"/>
        <v>42553.13</v>
      </c>
      <c r="I32" s="14">
        <f t="shared" si="14"/>
        <v>42553.13</v>
      </c>
      <c r="J32" s="14">
        <f t="shared" si="14"/>
        <v>42553.13</v>
      </c>
      <c r="K32" s="14">
        <f t="shared" si="14"/>
        <v>42553.13</v>
      </c>
      <c r="L32" s="14">
        <f t="shared" si="14"/>
        <v>42553.13</v>
      </c>
      <c r="M32" s="14">
        <f t="shared" si="14"/>
        <v>42553.13</v>
      </c>
      <c r="N32" s="14">
        <f t="shared" si="14"/>
        <v>42553.13</v>
      </c>
      <c r="O32" s="14">
        <f t="shared" si="14"/>
        <v>42553.13</v>
      </c>
      <c r="P32" s="14">
        <f t="shared" si="14"/>
        <v>42537.71</v>
      </c>
      <c r="Q32" s="14">
        <f>SUM(Q29:Q31)</f>
        <v>510872.14</v>
      </c>
      <c r="R32" s="14">
        <f t="shared" ref="R32:AC32" si="15">SUM(R29:R31)</f>
        <v>42811.66</v>
      </c>
      <c r="S32" s="14">
        <f t="shared" si="15"/>
        <v>42561.66</v>
      </c>
      <c r="T32" s="14">
        <f t="shared" si="15"/>
        <v>42561.66</v>
      </c>
      <c r="U32" s="14">
        <f t="shared" si="15"/>
        <v>42561.66</v>
      </c>
      <c r="V32" s="14">
        <f t="shared" si="15"/>
        <v>42561.66</v>
      </c>
      <c r="W32" s="14">
        <f t="shared" si="15"/>
        <v>42561.66</v>
      </c>
      <c r="X32" s="14">
        <f t="shared" si="15"/>
        <v>42561.66</v>
      </c>
      <c r="Y32" s="14">
        <f t="shared" si="15"/>
        <v>42561.66</v>
      </c>
      <c r="Z32" s="14">
        <f t="shared" si="15"/>
        <v>42561.66</v>
      </c>
      <c r="AA32" s="14">
        <f t="shared" si="15"/>
        <v>42561.66</v>
      </c>
      <c r="AB32" s="14">
        <f t="shared" si="15"/>
        <v>42561.66</v>
      </c>
      <c r="AC32" s="14">
        <f t="shared" si="15"/>
        <v>42545.41</v>
      </c>
      <c r="AD32" s="14">
        <f>SUM(AD29:AD31)</f>
        <v>510973.67000000016</v>
      </c>
      <c r="AE32" s="14">
        <f>SUM(AE29:AE31)</f>
        <v>42775.62</v>
      </c>
      <c r="AF32" s="14">
        <f>SUM(AF29:AF31)</f>
        <v>42525.62</v>
      </c>
      <c r="AG32" s="14">
        <f t="shared" ref="AG32:AP32" si="16">SUM(AG29:AG31)</f>
        <v>42525.62</v>
      </c>
      <c r="AH32" s="14">
        <f t="shared" si="16"/>
        <v>42525.62</v>
      </c>
      <c r="AI32" s="14">
        <f t="shared" si="16"/>
        <v>42525.62</v>
      </c>
      <c r="AJ32" s="14">
        <f t="shared" si="16"/>
        <v>42525.62</v>
      </c>
      <c r="AK32" s="14">
        <f t="shared" si="16"/>
        <v>42525.62</v>
      </c>
      <c r="AL32" s="14">
        <f t="shared" si="16"/>
        <v>42525.62</v>
      </c>
      <c r="AM32" s="14">
        <f t="shared" si="16"/>
        <v>42525.62</v>
      </c>
      <c r="AN32" s="14">
        <f t="shared" si="16"/>
        <v>42525.62</v>
      </c>
      <c r="AO32" s="14">
        <f t="shared" si="16"/>
        <v>42525.62</v>
      </c>
      <c r="AP32" s="14">
        <f t="shared" si="16"/>
        <v>42508.54</v>
      </c>
      <c r="AQ32" s="22">
        <f>SUM(AQ29:AQ31)</f>
        <v>510540.35999999993</v>
      </c>
      <c r="AR32" s="22">
        <f>SUM(AR29:AR31)</f>
        <v>42508.54</v>
      </c>
      <c r="AS32" s="22">
        <f t="shared" ref="AS32:BD32" si="17">SUM(AS29:AS31)</f>
        <v>42445</v>
      </c>
      <c r="AT32" s="22">
        <f t="shared" si="17"/>
        <v>42445</v>
      </c>
      <c r="AU32" s="22">
        <f t="shared" si="17"/>
        <v>42445</v>
      </c>
      <c r="AV32" s="22">
        <f t="shared" si="17"/>
        <v>42445</v>
      </c>
      <c r="AW32" s="22">
        <f t="shared" si="17"/>
        <v>42445</v>
      </c>
      <c r="AX32" s="22">
        <f t="shared" si="17"/>
        <v>42445</v>
      </c>
      <c r="AY32" s="22">
        <f t="shared" si="17"/>
        <v>42445</v>
      </c>
      <c r="AZ32" s="22">
        <f t="shared" si="17"/>
        <v>42445</v>
      </c>
      <c r="BA32" s="22">
        <f t="shared" si="17"/>
        <v>42445</v>
      </c>
      <c r="BB32" s="22">
        <f t="shared" si="17"/>
        <v>42445</v>
      </c>
      <c r="BC32" s="22">
        <f t="shared" si="17"/>
        <v>42445</v>
      </c>
      <c r="BD32" s="98">
        <f t="shared" si="17"/>
        <v>509403.54000000004</v>
      </c>
    </row>
    <row r="33" spans="1:56" x14ac:dyDescent="0.3">
      <c r="D33" s="15"/>
    </row>
    <row r="34" spans="1:56" ht="15.75" customHeight="1" x14ac:dyDescent="0.35">
      <c r="B34" s="20"/>
      <c r="C34" s="30" t="s">
        <v>6</v>
      </c>
      <c r="D34" s="10" t="s">
        <v>24</v>
      </c>
    </row>
    <row r="35" spans="1:56" x14ac:dyDescent="0.3">
      <c r="D35" s="8" t="s">
        <v>8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/>
      <c r="L35" s="12"/>
      <c r="M35" s="12"/>
      <c r="N35" s="12"/>
      <c r="O35" s="12"/>
      <c r="P35" s="12"/>
      <c r="Q35" s="12">
        <f>SUM(E35:P35)</f>
        <v>0</v>
      </c>
    </row>
    <row r="36" spans="1:56" x14ac:dyDescent="0.3">
      <c r="D36" s="8" t="s">
        <v>9</v>
      </c>
      <c r="E36" s="11">
        <v>250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>
        <f>SUM(E36:P36)</f>
        <v>250</v>
      </c>
    </row>
    <row r="37" spans="1:56" ht="13.5" thickBot="1" x14ac:dyDescent="0.35">
      <c r="A37" t="s">
        <v>25</v>
      </c>
      <c r="D37" s="8" t="s">
        <v>10</v>
      </c>
      <c r="E37" s="11">
        <f>12916.67+46218.75</f>
        <v>59135.42</v>
      </c>
      <c r="F37" s="11">
        <f>12916.67+46218.75</f>
        <v>59135.42</v>
      </c>
      <c r="G37" s="11">
        <f>12916.67+46218.75</f>
        <v>59135.42</v>
      </c>
      <c r="H37" s="11">
        <f>12916.67+46218.75</f>
        <v>59135.42</v>
      </c>
      <c r="I37" s="11">
        <f>12916.67+46218.75</f>
        <v>59135.42</v>
      </c>
      <c r="J37" s="11">
        <f>13750+45250</f>
        <v>59000</v>
      </c>
      <c r="K37" s="11"/>
      <c r="L37" s="11"/>
      <c r="M37" s="11"/>
      <c r="N37" s="11"/>
      <c r="O37" s="11"/>
      <c r="P37" s="11"/>
      <c r="Q37" s="12">
        <f>SUM(E37:P37)</f>
        <v>354677.1</v>
      </c>
    </row>
    <row r="38" spans="1:56" ht="13.5" thickBot="1" x14ac:dyDescent="0.35">
      <c r="D38" s="13" t="s">
        <v>26</v>
      </c>
      <c r="E38" s="14">
        <f t="shared" ref="E38:P38" si="18">SUM(E35:E37)</f>
        <v>59385.42</v>
      </c>
      <c r="F38" s="14">
        <f t="shared" si="18"/>
        <v>59135.42</v>
      </c>
      <c r="G38" s="14">
        <f t="shared" si="18"/>
        <v>59135.42</v>
      </c>
      <c r="H38" s="14">
        <f t="shared" si="18"/>
        <v>59135.42</v>
      </c>
      <c r="I38" s="14">
        <f t="shared" si="18"/>
        <v>59135.42</v>
      </c>
      <c r="J38" s="14">
        <f t="shared" si="18"/>
        <v>59000</v>
      </c>
      <c r="K38" s="14">
        <f t="shared" si="18"/>
        <v>0</v>
      </c>
      <c r="L38" s="14">
        <f t="shared" si="18"/>
        <v>0</v>
      </c>
      <c r="M38" s="14">
        <f t="shared" si="18"/>
        <v>0</v>
      </c>
      <c r="N38" s="14">
        <f t="shared" si="18"/>
        <v>0</v>
      </c>
      <c r="O38" s="14">
        <f t="shared" si="18"/>
        <v>0</v>
      </c>
      <c r="P38" s="14">
        <f t="shared" si="18"/>
        <v>0</v>
      </c>
      <c r="Q38" s="14">
        <f>SUM(Q35:Q37)</f>
        <v>354927.1</v>
      </c>
    </row>
    <row r="39" spans="1:56" x14ac:dyDescent="0.3">
      <c r="D39" s="15"/>
    </row>
    <row r="40" spans="1:56" ht="15.75" customHeight="1" x14ac:dyDescent="0.35">
      <c r="B40" s="20">
        <f>+B28+1</f>
        <v>4</v>
      </c>
      <c r="C40" s="24" t="s">
        <v>14</v>
      </c>
      <c r="D40" s="25" t="s">
        <v>27</v>
      </c>
    </row>
    <row r="41" spans="1:56" x14ac:dyDescent="0.3">
      <c r="D41" s="8" t="s">
        <v>8</v>
      </c>
      <c r="E41" s="12">
        <v>209.58</v>
      </c>
      <c r="F41" s="12">
        <v>209.58</v>
      </c>
      <c r="G41" s="12">
        <v>209.58</v>
      </c>
      <c r="H41" s="12">
        <v>209.58</v>
      </c>
      <c r="I41" s="12">
        <v>209.58</v>
      </c>
      <c r="J41" s="12">
        <v>209.58</v>
      </c>
      <c r="K41" s="12">
        <v>209.58</v>
      </c>
      <c r="L41" s="12">
        <v>209.58</v>
      </c>
      <c r="M41" s="12">
        <v>209.58</v>
      </c>
      <c r="N41" s="12">
        <v>209.58</v>
      </c>
      <c r="O41" s="12">
        <v>209.58</v>
      </c>
      <c r="P41" s="12">
        <v>209.58</v>
      </c>
      <c r="Q41" s="12">
        <f>SUM(E41:P41)</f>
        <v>2514.9599999999996</v>
      </c>
      <c r="R41" s="12">
        <v>209.58</v>
      </c>
      <c r="S41" s="12">
        <v>209.58</v>
      </c>
      <c r="T41" s="12">
        <v>209.58</v>
      </c>
      <c r="U41" s="12">
        <v>209.58</v>
      </c>
      <c r="V41" s="12">
        <v>209.58</v>
      </c>
      <c r="W41" s="12">
        <v>209.58</v>
      </c>
      <c r="X41" s="12">
        <v>209.58</v>
      </c>
      <c r="Y41" s="12">
        <v>209.58</v>
      </c>
      <c r="Z41" s="12">
        <v>209.58</v>
      </c>
      <c r="AA41" s="12">
        <v>209.58</v>
      </c>
      <c r="AB41" s="12">
        <v>209.58</v>
      </c>
      <c r="AC41" s="12">
        <v>209.58</v>
      </c>
      <c r="AD41" s="12">
        <f>SUM(R41:AC41)</f>
        <v>2514.9599999999996</v>
      </c>
      <c r="AE41" s="12">
        <v>209.58</v>
      </c>
      <c r="AF41" s="12">
        <v>209.58</v>
      </c>
      <c r="AG41" s="12">
        <v>209.58</v>
      </c>
      <c r="AH41" s="12">
        <v>209.58</v>
      </c>
      <c r="AI41" s="12">
        <v>209.58</v>
      </c>
      <c r="AJ41" s="12">
        <v>209.58</v>
      </c>
      <c r="AK41" s="12">
        <v>209.58</v>
      </c>
      <c r="AL41" s="12">
        <v>209.58</v>
      </c>
      <c r="AM41" s="12">
        <v>209.58</v>
      </c>
      <c r="AN41" s="12">
        <v>209.58</v>
      </c>
      <c r="AO41" s="12">
        <v>209.58</v>
      </c>
      <c r="AP41" s="12">
        <v>209.58</v>
      </c>
      <c r="AQ41" s="3">
        <f>SUM(AE41:AP41)</f>
        <v>2514.9599999999996</v>
      </c>
      <c r="AR41" s="3">
        <v>209.58</v>
      </c>
      <c r="AS41" s="3">
        <v>209.58</v>
      </c>
      <c r="AT41" s="3">
        <v>209.58</v>
      </c>
      <c r="AU41" s="3">
        <v>209.58</v>
      </c>
      <c r="AV41" s="3">
        <v>209.58</v>
      </c>
      <c r="AW41" s="3">
        <v>209.58</v>
      </c>
      <c r="AX41" s="3">
        <v>209.58</v>
      </c>
      <c r="AY41" s="3">
        <v>209.58</v>
      </c>
      <c r="AZ41" s="3">
        <v>209.58</v>
      </c>
      <c r="BA41" s="3">
        <v>209.58</v>
      </c>
      <c r="BB41" s="3">
        <v>209.58</v>
      </c>
      <c r="BC41" s="3">
        <v>209.58</v>
      </c>
      <c r="BD41" s="3">
        <f>SUM(AR41:BC41)</f>
        <v>2514.9599999999996</v>
      </c>
    </row>
    <row r="42" spans="1:56" x14ac:dyDescent="0.3">
      <c r="D42" s="8" t="s">
        <v>9</v>
      </c>
      <c r="E42" s="11">
        <v>250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>
        <f>SUM(E42:P42)</f>
        <v>250</v>
      </c>
      <c r="R42" s="11">
        <v>250</v>
      </c>
      <c r="AD42" s="12">
        <f>SUM(R42:AC42)</f>
        <v>250</v>
      </c>
      <c r="AE42" s="11">
        <v>250</v>
      </c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3">
        <f>SUM(AE42:AP42)</f>
        <v>250</v>
      </c>
      <c r="AR42" s="28">
        <v>250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3">
        <f>SUM(AR42:BC42)</f>
        <v>250</v>
      </c>
    </row>
    <row r="43" spans="1:56" ht="13.5" thickBot="1" x14ac:dyDescent="0.35">
      <c r="A43" t="s">
        <v>28</v>
      </c>
      <c r="D43" s="8" t="s">
        <v>10</v>
      </c>
      <c r="E43" s="11">
        <f t="shared" ref="E43:L43" si="19">6250+24370.31</f>
        <v>30620.31</v>
      </c>
      <c r="F43" s="11">
        <f t="shared" si="19"/>
        <v>30620.31</v>
      </c>
      <c r="G43" s="11">
        <f t="shared" si="19"/>
        <v>30620.31</v>
      </c>
      <c r="H43" s="11">
        <f t="shared" si="19"/>
        <v>30620.31</v>
      </c>
      <c r="I43" s="11">
        <f t="shared" si="19"/>
        <v>30620.31</v>
      </c>
      <c r="J43" s="11">
        <f t="shared" si="19"/>
        <v>30620.31</v>
      </c>
      <c r="K43" s="11">
        <f t="shared" si="19"/>
        <v>30620.31</v>
      </c>
      <c r="L43" s="11">
        <f t="shared" si="19"/>
        <v>30620.31</v>
      </c>
      <c r="M43" s="11">
        <f>6666.67+23901.56</f>
        <v>30568.230000000003</v>
      </c>
      <c r="N43" s="11">
        <f>6666.67+23901.56</f>
        <v>30568.230000000003</v>
      </c>
      <c r="O43" s="11">
        <f>6666.67+23901.56</f>
        <v>30568.230000000003</v>
      </c>
      <c r="P43" s="11">
        <f>6666.67+23901.56</f>
        <v>30568.230000000003</v>
      </c>
      <c r="Q43" s="12">
        <f>SUM(E43:P43)</f>
        <v>367235.39999999997</v>
      </c>
      <c r="R43" s="11">
        <f t="shared" ref="R43:Y43" si="20">6666.67+23901.56</f>
        <v>30568.230000000003</v>
      </c>
      <c r="S43" s="11">
        <f t="shared" si="20"/>
        <v>30568.230000000003</v>
      </c>
      <c r="T43" s="11">
        <f t="shared" si="20"/>
        <v>30568.230000000003</v>
      </c>
      <c r="U43" s="11">
        <f t="shared" si="20"/>
        <v>30568.230000000003</v>
      </c>
      <c r="V43" s="11">
        <f t="shared" si="20"/>
        <v>30568.230000000003</v>
      </c>
      <c r="W43" s="11">
        <f t="shared" si="20"/>
        <v>30568.230000000003</v>
      </c>
      <c r="X43" s="11">
        <f t="shared" si="20"/>
        <v>30568.230000000003</v>
      </c>
      <c r="Y43" s="11">
        <f t="shared" si="20"/>
        <v>30568.230000000003</v>
      </c>
      <c r="Z43" s="11">
        <f>7500+23401.56</f>
        <v>30901.56</v>
      </c>
      <c r="AA43" s="11">
        <f>7500+23401.56</f>
        <v>30901.56</v>
      </c>
      <c r="AB43" s="11">
        <f>7500+23401.56</f>
        <v>30901.56</v>
      </c>
      <c r="AC43" s="11">
        <f>7500+23401.56</f>
        <v>30901.56</v>
      </c>
      <c r="AD43" s="12">
        <f>SUM(R43:AC43)</f>
        <v>368152.08000000007</v>
      </c>
      <c r="AE43" s="11">
        <f t="shared" ref="AE43:AL43" si="21">7500+23401.56</f>
        <v>30901.56</v>
      </c>
      <c r="AF43" s="11">
        <f t="shared" si="21"/>
        <v>30901.56</v>
      </c>
      <c r="AG43" s="11">
        <f t="shared" si="21"/>
        <v>30901.56</v>
      </c>
      <c r="AH43" s="11">
        <f t="shared" si="21"/>
        <v>30901.56</v>
      </c>
      <c r="AI43" s="11">
        <f t="shared" si="21"/>
        <v>30901.56</v>
      </c>
      <c r="AJ43" s="11">
        <f t="shared" si="21"/>
        <v>30901.56</v>
      </c>
      <c r="AK43" s="11">
        <f t="shared" si="21"/>
        <v>30901.56</v>
      </c>
      <c r="AL43" s="11">
        <f t="shared" si="21"/>
        <v>30901.56</v>
      </c>
      <c r="AM43" s="12">
        <f>7916.67+22839.06</f>
        <v>30755.730000000003</v>
      </c>
      <c r="AN43" s="12">
        <f>7916.67+22839.06</f>
        <v>30755.730000000003</v>
      </c>
      <c r="AO43" s="12">
        <f>7916.67+22839.06</f>
        <v>30755.730000000003</v>
      </c>
      <c r="AP43" s="12">
        <f>7916.67+22839.06</f>
        <v>30755.730000000003</v>
      </c>
      <c r="AQ43" s="3">
        <f>SUM(AE43:AP43)</f>
        <v>370235.39999999997</v>
      </c>
      <c r="AR43" s="3">
        <f>7916.67+22839.06</f>
        <v>30755.730000000003</v>
      </c>
      <c r="AS43" s="3">
        <f t="shared" ref="AS43:AY43" si="22">7916.67+22839.06</f>
        <v>30755.730000000003</v>
      </c>
      <c r="AT43" s="3">
        <f t="shared" si="22"/>
        <v>30755.730000000003</v>
      </c>
      <c r="AU43" s="3">
        <f t="shared" si="22"/>
        <v>30755.730000000003</v>
      </c>
      <c r="AV43" s="3">
        <f t="shared" si="22"/>
        <v>30755.730000000003</v>
      </c>
      <c r="AW43" s="3">
        <f t="shared" si="22"/>
        <v>30755.730000000003</v>
      </c>
      <c r="AX43" s="3">
        <f t="shared" si="22"/>
        <v>30755.730000000003</v>
      </c>
      <c r="AY43" s="3">
        <f t="shared" si="22"/>
        <v>30755.730000000003</v>
      </c>
      <c r="AZ43" s="3">
        <v>30578.639999999999</v>
      </c>
      <c r="BA43" s="3">
        <v>30578.639999999999</v>
      </c>
      <c r="BB43" s="3">
        <v>30578.639999999999</v>
      </c>
      <c r="BC43" s="3">
        <v>30578.639999999999</v>
      </c>
      <c r="BD43" s="3">
        <f>SUM(AR43:BC43)</f>
        <v>368360.40000000008</v>
      </c>
    </row>
    <row r="44" spans="1:56" ht="13.5" thickBot="1" x14ac:dyDescent="0.35">
      <c r="D44" s="13" t="s">
        <v>29</v>
      </c>
      <c r="E44" s="14">
        <f t="shared" ref="E44:P44" si="23">SUM(E41:E43)</f>
        <v>31079.890000000003</v>
      </c>
      <c r="F44" s="14">
        <f t="shared" si="23"/>
        <v>30829.890000000003</v>
      </c>
      <c r="G44" s="14">
        <f t="shared" si="23"/>
        <v>30829.890000000003</v>
      </c>
      <c r="H44" s="14">
        <f t="shared" si="23"/>
        <v>30829.890000000003</v>
      </c>
      <c r="I44" s="14">
        <f t="shared" si="23"/>
        <v>30829.890000000003</v>
      </c>
      <c r="J44" s="14">
        <f t="shared" si="23"/>
        <v>30829.890000000003</v>
      </c>
      <c r="K44" s="14">
        <f t="shared" si="23"/>
        <v>30829.890000000003</v>
      </c>
      <c r="L44" s="14">
        <f t="shared" si="23"/>
        <v>30829.890000000003</v>
      </c>
      <c r="M44" s="14">
        <f t="shared" si="23"/>
        <v>30777.810000000005</v>
      </c>
      <c r="N44" s="14">
        <f t="shared" si="23"/>
        <v>30777.810000000005</v>
      </c>
      <c r="O44" s="14">
        <f t="shared" si="23"/>
        <v>30777.810000000005</v>
      </c>
      <c r="P44" s="14">
        <f t="shared" si="23"/>
        <v>30777.810000000005</v>
      </c>
      <c r="Q44" s="14">
        <f>SUM(Q41:Q43)</f>
        <v>370000.36</v>
      </c>
      <c r="R44" s="14">
        <f t="shared" ref="R44:AC44" si="24">SUM(R41:R43)</f>
        <v>31027.810000000005</v>
      </c>
      <c r="S44" s="14">
        <f t="shared" si="24"/>
        <v>30777.810000000005</v>
      </c>
      <c r="T44" s="14">
        <f t="shared" si="24"/>
        <v>30777.810000000005</v>
      </c>
      <c r="U44" s="14">
        <f t="shared" si="24"/>
        <v>30777.810000000005</v>
      </c>
      <c r="V44" s="14">
        <f t="shared" si="24"/>
        <v>30777.810000000005</v>
      </c>
      <c r="W44" s="14">
        <f t="shared" si="24"/>
        <v>30777.810000000005</v>
      </c>
      <c r="X44" s="14">
        <f t="shared" si="24"/>
        <v>30777.810000000005</v>
      </c>
      <c r="Y44" s="14">
        <f t="shared" si="24"/>
        <v>30777.810000000005</v>
      </c>
      <c r="Z44" s="14">
        <f t="shared" si="24"/>
        <v>31111.140000000003</v>
      </c>
      <c r="AA44" s="14">
        <f t="shared" si="24"/>
        <v>31111.140000000003</v>
      </c>
      <c r="AB44" s="14">
        <f t="shared" si="24"/>
        <v>31111.140000000003</v>
      </c>
      <c r="AC44" s="14">
        <f t="shared" si="24"/>
        <v>31111.140000000003</v>
      </c>
      <c r="AD44" s="14">
        <f>SUM(AD41:AD43)</f>
        <v>370917.0400000001</v>
      </c>
      <c r="AE44" s="14">
        <f>SUM(AE41:AE43)</f>
        <v>31361.140000000003</v>
      </c>
      <c r="AF44" s="14">
        <f>SUM(AF41:AF43)</f>
        <v>31111.140000000003</v>
      </c>
      <c r="AG44" s="14">
        <f t="shared" ref="AG44:AP44" si="25">SUM(AG41:AG43)</f>
        <v>31111.140000000003</v>
      </c>
      <c r="AH44" s="14">
        <f t="shared" si="25"/>
        <v>31111.140000000003</v>
      </c>
      <c r="AI44" s="14">
        <f t="shared" si="25"/>
        <v>31111.140000000003</v>
      </c>
      <c r="AJ44" s="14">
        <f t="shared" si="25"/>
        <v>31111.140000000003</v>
      </c>
      <c r="AK44" s="14">
        <f t="shared" si="25"/>
        <v>31111.140000000003</v>
      </c>
      <c r="AL44" s="14">
        <f t="shared" si="25"/>
        <v>31111.140000000003</v>
      </c>
      <c r="AM44" s="14">
        <f t="shared" si="25"/>
        <v>30965.310000000005</v>
      </c>
      <c r="AN44" s="14">
        <f t="shared" si="25"/>
        <v>30965.310000000005</v>
      </c>
      <c r="AO44" s="14">
        <f t="shared" si="25"/>
        <v>30965.310000000005</v>
      </c>
      <c r="AP44" s="14">
        <f t="shared" si="25"/>
        <v>30965.310000000005</v>
      </c>
      <c r="AQ44" s="22">
        <f>SUM(AQ41:AQ43)</f>
        <v>373000.36</v>
      </c>
      <c r="AR44" s="22">
        <f>SUM(AR41:AR43)</f>
        <v>31215.310000000005</v>
      </c>
      <c r="AS44" s="22">
        <f t="shared" ref="AS44:AY44" si="26">SUM(AS41:AS43)</f>
        <v>30965.310000000005</v>
      </c>
      <c r="AT44" s="22">
        <f t="shared" si="26"/>
        <v>30965.310000000005</v>
      </c>
      <c r="AU44" s="22">
        <f t="shared" si="26"/>
        <v>30965.310000000005</v>
      </c>
      <c r="AV44" s="22">
        <f t="shared" si="26"/>
        <v>30965.310000000005</v>
      </c>
      <c r="AW44" s="22">
        <f t="shared" si="26"/>
        <v>30965.310000000005</v>
      </c>
      <c r="AX44" s="22">
        <f t="shared" si="26"/>
        <v>30965.310000000005</v>
      </c>
      <c r="AY44" s="22">
        <f t="shared" si="26"/>
        <v>30965.310000000005</v>
      </c>
      <c r="AZ44" s="22">
        <f>SUM(AZ41:AZ43)</f>
        <v>30788.22</v>
      </c>
      <c r="BA44" s="22">
        <f>SUM(BA41:BA43)</f>
        <v>30788.22</v>
      </c>
      <c r="BB44" s="22">
        <f>SUM(BB41:BB43)</f>
        <v>30788.22</v>
      </c>
      <c r="BC44" s="22">
        <f>SUM(BC41:BC43)</f>
        <v>30788.22</v>
      </c>
      <c r="BD44" s="98">
        <f>SUM(BD41:BD43)</f>
        <v>371125.3600000001</v>
      </c>
    </row>
    <row r="45" spans="1:56" x14ac:dyDescent="0.3">
      <c r="D45" s="15"/>
    </row>
    <row r="46" spans="1:56" ht="15.75" customHeight="1" x14ac:dyDescent="0.35">
      <c r="B46" s="20">
        <f>+B40+1</f>
        <v>5</v>
      </c>
      <c r="C46" s="24" t="s">
        <v>14</v>
      </c>
      <c r="D46" s="25" t="s">
        <v>30</v>
      </c>
    </row>
    <row r="47" spans="1:56" x14ac:dyDescent="0.3">
      <c r="D47" s="8" t="s">
        <v>8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f>SUM(E47:P47)</f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f>SUM(R47:AC47)</f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3">
        <f>SUM(AE47:AP47)</f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">
        <f>SUM(AR47:BC47)</f>
        <v>0</v>
      </c>
    </row>
    <row r="48" spans="1:56" x14ac:dyDescent="0.3">
      <c r="D48" s="8" t="s">
        <v>9</v>
      </c>
      <c r="E48" s="11">
        <v>250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>
        <f>SUM(E48:P48)</f>
        <v>250</v>
      </c>
      <c r="R48" s="11">
        <v>250</v>
      </c>
      <c r="AD48" s="12">
        <f>SUM(R48:AC48)</f>
        <v>250</v>
      </c>
      <c r="AE48" s="11">
        <v>250</v>
      </c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">
        <f>SUM(AE48:AP48)</f>
        <v>250</v>
      </c>
      <c r="AR48" s="28">
        <v>250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">
        <f>SUM(AR48:BC48)</f>
        <v>250</v>
      </c>
    </row>
    <row r="49" spans="1:56" ht="13.5" thickBot="1" x14ac:dyDescent="0.35">
      <c r="A49" t="s">
        <v>31</v>
      </c>
      <c r="D49" s="8" t="s">
        <v>10</v>
      </c>
      <c r="E49" s="11">
        <f t="shared" ref="E49:L49" si="27">14583.33+8440.63</f>
        <v>23023.96</v>
      </c>
      <c r="F49" s="11">
        <f t="shared" si="27"/>
        <v>23023.96</v>
      </c>
      <c r="G49" s="11">
        <f t="shared" si="27"/>
        <v>23023.96</v>
      </c>
      <c r="H49" s="11">
        <f t="shared" si="27"/>
        <v>23023.96</v>
      </c>
      <c r="I49" s="11">
        <f t="shared" si="27"/>
        <v>23023.96</v>
      </c>
      <c r="J49" s="11">
        <f t="shared" si="27"/>
        <v>23023.96</v>
      </c>
      <c r="K49" s="11">
        <f t="shared" si="27"/>
        <v>23023.96</v>
      </c>
      <c r="L49" s="11">
        <f t="shared" si="27"/>
        <v>23023.96</v>
      </c>
      <c r="M49" s="11">
        <f>15000+7857.29</f>
        <v>22857.29</v>
      </c>
      <c r="N49" s="11">
        <f>15000+7857.29</f>
        <v>22857.29</v>
      </c>
      <c r="O49" s="11">
        <f>15000+7857.29</f>
        <v>22857.29</v>
      </c>
      <c r="P49" s="11">
        <f>15000+7857.29</f>
        <v>22857.29</v>
      </c>
      <c r="Q49" s="12">
        <f>SUM(E49:P49)</f>
        <v>275620.83999999997</v>
      </c>
      <c r="R49" s="11">
        <f t="shared" ref="R49:Y49" si="28">15000+7857.29</f>
        <v>22857.29</v>
      </c>
      <c r="S49" s="11">
        <f t="shared" si="28"/>
        <v>22857.29</v>
      </c>
      <c r="T49" s="11">
        <f t="shared" si="28"/>
        <v>22857.29</v>
      </c>
      <c r="U49" s="11">
        <f t="shared" si="28"/>
        <v>22857.29</v>
      </c>
      <c r="V49" s="11">
        <f t="shared" si="28"/>
        <v>22857.29</v>
      </c>
      <c r="W49" s="11">
        <f t="shared" si="28"/>
        <v>22857.29</v>
      </c>
      <c r="X49" s="11">
        <f t="shared" si="28"/>
        <v>22857.29</v>
      </c>
      <c r="Y49" s="11">
        <f t="shared" si="28"/>
        <v>22857.29</v>
      </c>
      <c r="Z49" s="11">
        <f>15833.33+7144.79</f>
        <v>22978.12</v>
      </c>
      <c r="AA49" s="11">
        <f>15833.33+7144.79</f>
        <v>22978.12</v>
      </c>
      <c r="AB49" s="11">
        <f>15833.33+7144.79</f>
        <v>22978.12</v>
      </c>
      <c r="AC49" s="11">
        <f>15833.33+7144.79</f>
        <v>22978.12</v>
      </c>
      <c r="AD49" s="12">
        <f>SUM(R49:AC49)</f>
        <v>274770.80000000005</v>
      </c>
      <c r="AE49" s="11">
        <f t="shared" ref="AE49:AL49" si="29">15833.33+7144.79</f>
        <v>22978.12</v>
      </c>
      <c r="AF49" s="11">
        <f t="shared" si="29"/>
        <v>22978.12</v>
      </c>
      <c r="AG49" s="11">
        <f t="shared" si="29"/>
        <v>22978.12</v>
      </c>
      <c r="AH49" s="11">
        <f t="shared" si="29"/>
        <v>22978.12</v>
      </c>
      <c r="AI49" s="11">
        <f t="shared" si="29"/>
        <v>22978.12</v>
      </c>
      <c r="AJ49" s="11">
        <f t="shared" si="29"/>
        <v>22978.12</v>
      </c>
      <c r="AK49" s="11">
        <f t="shared" si="29"/>
        <v>22978.12</v>
      </c>
      <c r="AL49" s="11">
        <f t="shared" si="29"/>
        <v>22978.12</v>
      </c>
      <c r="AM49" s="12">
        <f>16666.67+6392.71</f>
        <v>23059.379999999997</v>
      </c>
      <c r="AN49" s="12">
        <f>16666.67+6392.71</f>
        <v>23059.379999999997</v>
      </c>
      <c r="AO49" s="12">
        <f>16666.67+6392.71</f>
        <v>23059.379999999997</v>
      </c>
      <c r="AP49" s="12">
        <f>16666.67+6392.71</f>
        <v>23059.379999999997</v>
      </c>
      <c r="AQ49" s="3">
        <f>SUM(AE49:AP49)</f>
        <v>276062.48</v>
      </c>
      <c r="AR49" s="31">
        <f>16666.67+6392.71</f>
        <v>23059.379999999997</v>
      </c>
      <c r="AS49" s="31">
        <f>16666.67+6392.71</f>
        <v>23059.379999999997</v>
      </c>
      <c r="AT49" s="31">
        <f t="shared" ref="AT49:AY49" si="30">16666.67+6392.71</f>
        <v>23059.379999999997</v>
      </c>
      <c r="AU49" s="31">
        <f t="shared" si="30"/>
        <v>23059.379999999997</v>
      </c>
      <c r="AV49" s="31">
        <f t="shared" si="30"/>
        <v>23059.379999999997</v>
      </c>
      <c r="AW49" s="31">
        <f t="shared" si="30"/>
        <v>23059.379999999997</v>
      </c>
      <c r="AX49" s="31">
        <f t="shared" si="30"/>
        <v>23059.379999999997</v>
      </c>
      <c r="AY49" s="31">
        <f t="shared" si="30"/>
        <v>23059.379999999997</v>
      </c>
      <c r="AZ49" s="31">
        <f>17083.33+5601.04</f>
        <v>22684.370000000003</v>
      </c>
      <c r="BA49" s="31">
        <f>17083.33+5601.04</f>
        <v>22684.370000000003</v>
      </c>
      <c r="BB49" s="31">
        <f>17083.33+5601.04</f>
        <v>22684.370000000003</v>
      </c>
      <c r="BC49" s="31">
        <f>17083.33+5601.04</f>
        <v>22684.370000000003</v>
      </c>
      <c r="BD49" s="3">
        <f>SUM(AR49:BC49)</f>
        <v>275212.52</v>
      </c>
    </row>
    <row r="50" spans="1:56" ht="13.5" thickBot="1" x14ac:dyDescent="0.35">
      <c r="D50" s="13" t="s">
        <v>32</v>
      </c>
      <c r="E50" s="14">
        <f t="shared" ref="E50:P50" si="31">SUM(E47:E49)</f>
        <v>23273.96</v>
      </c>
      <c r="F50" s="14">
        <f t="shared" si="31"/>
        <v>23023.96</v>
      </c>
      <c r="G50" s="14">
        <f t="shared" si="31"/>
        <v>23023.96</v>
      </c>
      <c r="H50" s="14">
        <f t="shared" si="31"/>
        <v>23023.96</v>
      </c>
      <c r="I50" s="14">
        <f t="shared" si="31"/>
        <v>23023.96</v>
      </c>
      <c r="J50" s="14">
        <f t="shared" si="31"/>
        <v>23023.96</v>
      </c>
      <c r="K50" s="14">
        <f t="shared" si="31"/>
        <v>23023.96</v>
      </c>
      <c r="L50" s="14">
        <f t="shared" si="31"/>
        <v>23023.96</v>
      </c>
      <c r="M50" s="14">
        <f t="shared" si="31"/>
        <v>22857.29</v>
      </c>
      <c r="N50" s="14">
        <f t="shared" si="31"/>
        <v>22857.29</v>
      </c>
      <c r="O50" s="14">
        <f t="shared" si="31"/>
        <v>22857.29</v>
      </c>
      <c r="P50" s="14">
        <f t="shared" si="31"/>
        <v>22857.29</v>
      </c>
      <c r="Q50" s="14">
        <f>SUM(Q47:Q49)</f>
        <v>275870.83999999997</v>
      </c>
      <c r="R50" s="14">
        <f t="shared" ref="R50:AC50" si="32">SUM(R47:R49)</f>
        <v>23107.29</v>
      </c>
      <c r="S50" s="14">
        <f t="shared" si="32"/>
        <v>22857.29</v>
      </c>
      <c r="T50" s="14">
        <f t="shared" si="32"/>
        <v>22857.29</v>
      </c>
      <c r="U50" s="14">
        <f t="shared" si="32"/>
        <v>22857.29</v>
      </c>
      <c r="V50" s="14">
        <f t="shared" si="32"/>
        <v>22857.29</v>
      </c>
      <c r="W50" s="14">
        <f t="shared" si="32"/>
        <v>22857.29</v>
      </c>
      <c r="X50" s="14">
        <f t="shared" si="32"/>
        <v>22857.29</v>
      </c>
      <c r="Y50" s="14">
        <f t="shared" si="32"/>
        <v>22857.29</v>
      </c>
      <c r="Z50" s="14">
        <f t="shared" si="32"/>
        <v>22978.12</v>
      </c>
      <c r="AA50" s="14">
        <f t="shared" si="32"/>
        <v>22978.12</v>
      </c>
      <c r="AB50" s="14">
        <f t="shared" si="32"/>
        <v>22978.12</v>
      </c>
      <c r="AC50" s="14">
        <f t="shared" si="32"/>
        <v>22978.12</v>
      </c>
      <c r="AD50" s="14">
        <f>SUM(AD47:AD49)</f>
        <v>275020.80000000005</v>
      </c>
      <c r="AE50" s="14">
        <f>SUM(AE47:AE49)</f>
        <v>23228.12</v>
      </c>
      <c r="AF50" s="14">
        <f>SUM(AF47:AF49)</f>
        <v>22978.12</v>
      </c>
      <c r="AG50" s="14">
        <f t="shared" ref="AG50:AP50" si="33">SUM(AG47:AG49)</f>
        <v>22978.12</v>
      </c>
      <c r="AH50" s="14">
        <f t="shared" si="33"/>
        <v>22978.12</v>
      </c>
      <c r="AI50" s="14">
        <f t="shared" si="33"/>
        <v>22978.12</v>
      </c>
      <c r="AJ50" s="14">
        <f t="shared" si="33"/>
        <v>22978.12</v>
      </c>
      <c r="AK50" s="14">
        <f t="shared" si="33"/>
        <v>22978.12</v>
      </c>
      <c r="AL50" s="14">
        <f t="shared" si="33"/>
        <v>22978.12</v>
      </c>
      <c r="AM50" s="14">
        <f t="shared" si="33"/>
        <v>23059.379999999997</v>
      </c>
      <c r="AN50" s="14">
        <f t="shared" si="33"/>
        <v>23059.379999999997</v>
      </c>
      <c r="AO50" s="14">
        <f t="shared" si="33"/>
        <v>23059.379999999997</v>
      </c>
      <c r="AP50" s="14">
        <f t="shared" si="33"/>
        <v>23059.379999999997</v>
      </c>
      <c r="AQ50" s="22">
        <f>SUM(AQ47:AQ49)</f>
        <v>276312.48</v>
      </c>
      <c r="AR50" s="22">
        <f>SUM(AR47:AR49)</f>
        <v>23309.379999999997</v>
      </c>
      <c r="AS50" s="22">
        <f t="shared" ref="AS50:AZ50" si="34">SUM(AS47:AS49)</f>
        <v>23059.379999999997</v>
      </c>
      <c r="AT50" s="22">
        <f t="shared" si="34"/>
        <v>23059.379999999997</v>
      </c>
      <c r="AU50" s="22">
        <f t="shared" si="34"/>
        <v>23059.379999999997</v>
      </c>
      <c r="AV50" s="22">
        <f t="shared" si="34"/>
        <v>23059.379999999997</v>
      </c>
      <c r="AW50" s="22">
        <f t="shared" si="34"/>
        <v>23059.379999999997</v>
      </c>
      <c r="AX50" s="22">
        <f t="shared" si="34"/>
        <v>23059.379999999997</v>
      </c>
      <c r="AY50" s="22">
        <f t="shared" si="34"/>
        <v>23059.379999999997</v>
      </c>
      <c r="AZ50" s="22">
        <f t="shared" si="34"/>
        <v>22684.370000000003</v>
      </c>
      <c r="BA50" s="22">
        <f>SUM(BA47:BA49)</f>
        <v>22684.370000000003</v>
      </c>
      <c r="BB50" s="22">
        <f>SUM(BB47:BB49)</f>
        <v>22684.370000000003</v>
      </c>
      <c r="BC50" s="22">
        <f>SUM(BC47:BC49)</f>
        <v>22684.370000000003</v>
      </c>
      <c r="BD50" s="22">
        <f>SUM(BD47:BD49)</f>
        <v>275462.52</v>
      </c>
    </row>
    <row r="51" spans="1:56" x14ac:dyDescent="0.3">
      <c r="D51" s="15"/>
    </row>
    <row r="52" spans="1:56" ht="15.75" customHeight="1" x14ac:dyDescent="0.35">
      <c r="B52" s="20">
        <f>+B46+1</f>
        <v>6</v>
      </c>
      <c r="C52" s="24" t="s">
        <v>14</v>
      </c>
      <c r="D52" s="25" t="s">
        <v>33</v>
      </c>
    </row>
    <row r="53" spans="1:56" x14ac:dyDescent="0.3">
      <c r="D53" s="8" t="s">
        <v>8</v>
      </c>
      <c r="E53" s="26">
        <v>592.5</v>
      </c>
      <c r="F53" s="26">
        <v>592.5</v>
      </c>
      <c r="G53" s="26">
        <v>592.5</v>
      </c>
      <c r="H53" s="26">
        <v>592.5</v>
      </c>
      <c r="I53" s="26">
        <v>592.5</v>
      </c>
      <c r="J53" s="26">
        <v>592.5</v>
      </c>
      <c r="K53" s="26">
        <v>592.5</v>
      </c>
      <c r="L53" s="26">
        <v>592.5</v>
      </c>
      <c r="M53" s="26">
        <v>592.5</v>
      </c>
      <c r="N53" s="26">
        <v>592.5</v>
      </c>
      <c r="O53" s="26">
        <v>592.5</v>
      </c>
      <c r="P53" s="26">
        <v>592.5</v>
      </c>
      <c r="Q53" s="12">
        <f>SUM(E53:P53)</f>
        <v>7110</v>
      </c>
      <c r="R53" s="26">
        <v>566.66999999999996</v>
      </c>
      <c r="S53" s="26">
        <v>566.66999999999996</v>
      </c>
      <c r="T53" s="26">
        <v>566.66999999999996</v>
      </c>
      <c r="U53" s="26">
        <v>566.66999999999996</v>
      </c>
      <c r="V53" s="26">
        <v>566.66999999999996</v>
      </c>
      <c r="W53" s="26">
        <v>566.66999999999996</v>
      </c>
      <c r="X53" s="26">
        <v>566.66999999999996</v>
      </c>
      <c r="Y53" s="26">
        <v>566.66999999999996</v>
      </c>
      <c r="Z53" s="26">
        <v>566.66999999999996</v>
      </c>
      <c r="AA53" s="26">
        <v>566.66999999999996</v>
      </c>
      <c r="AB53" s="26">
        <v>566.66999999999996</v>
      </c>
      <c r="AC53" s="26">
        <v>566.66999999999996</v>
      </c>
      <c r="AD53" s="12">
        <f>SUM(R53:AC53)</f>
        <v>6800.04</v>
      </c>
      <c r="AE53" s="12">
        <v>540</v>
      </c>
      <c r="AF53" s="12">
        <v>540</v>
      </c>
      <c r="AG53" s="12">
        <v>540</v>
      </c>
      <c r="AH53" s="12">
        <v>540</v>
      </c>
      <c r="AI53" s="12">
        <v>540</v>
      </c>
      <c r="AJ53" s="12">
        <v>540</v>
      </c>
      <c r="AK53" s="12">
        <v>540</v>
      </c>
      <c r="AL53" s="12">
        <v>540</v>
      </c>
      <c r="AM53" s="12">
        <v>540</v>
      </c>
      <c r="AN53" s="12">
        <v>540</v>
      </c>
      <c r="AO53" s="12">
        <v>540</v>
      </c>
      <c r="AP53" s="12">
        <v>540</v>
      </c>
      <c r="AQ53" s="3">
        <f>SUM(AE53:AP53)</f>
        <v>6480</v>
      </c>
      <c r="AR53" s="3">
        <v>511.67</v>
      </c>
      <c r="AS53" s="3">
        <v>511.67</v>
      </c>
      <c r="AT53" s="3">
        <v>511.67</v>
      </c>
      <c r="AU53" s="3">
        <v>511.67</v>
      </c>
      <c r="AV53" s="3">
        <v>511.67</v>
      </c>
      <c r="AW53" s="3">
        <v>511.67</v>
      </c>
      <c r="AX53" s="3">
        <v>511.67</v>
      </c>
      <c r="AY53" s="3">
        <v>511.67</v>
      </c>
      <c r="AZ53" s="3">
        <v>511.67</v>
      </c>
      <c r="BA53" s="3">
        <v>511.67</v>
      </c>
      <c r="BB53" s="3">
        <v>511.67</v>
      </c>
      <c r="BC53" s="3">
        <v>511.67</v>
      </c>
      <c r="BD53" s="3">
        <f>SUM(AR53:BC53)</f>
        <v>6140.04</v>
      </c>
    </row>
    <row r="54" spans="1:56" x14ac:dyDescent="0.3">
      <c r="D54" s="8" t="s">
        <v>9</v>
      </c>
      <c r="E54" s="11">
        <v>250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>
        <f>SUM(E54:P54)</f>
        <v>250</v>
      </c>
      <c r="R54" s="11">
        <v>250</v>
      </c>
      <c r="AD54" s="12">
        <f>SUM(R54:AC54)</f>
        <v>250</v>
      </c>
      <c r="AE54" s="11">
        <v>250</v>
      </c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">
        <f>SUM(AE54:AP54)</f>
        <v>250</v>
      </c>
      <c r="AR54" s="3">
        <v>250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f>SUM(AR54:BC54)</f>
        <v>250</v>
      </c>
    </row>
    <row r="55" spans="1:56" ht="13.5" thickBot="1" x14ac:dyDescent="0.35">
      <c r="A55" t="s">
        <v>34</v>
      </c>
      <c r="D55" s="8" t="s">
        <v>10</v>
      </c>
      <c r="E55" s="11">
        <f>25833.33+27706.25</f>
        <v>53539.58</v>
      </c>
      <c r="F55" s="11">
        <f>25833.33+27706.25</f>
        <v>53539.58</v>
      </c>
      <c r="G55" s="11">
        <f>25833.33+27706.25</f>
        <v>53539.58</v>
      </c>
      <c r="H55" s="11">
        <f>25833.33+27706.25</f>
        <v>53539.58</v>
      </c>
      <c r="I55" s="11">
        <f>25833.33+27706.25</f>
        <v>53539.58</v>
      </c>
      <c r="J55" s="11">
        <f>25833.35+27706.25</f>
        <v>53539.6</v>
      </c>
      <c r="K55" s="11">
        <f>25833.33+27286.46</f>
        <v>53119.79</v>
      </c>
      <c r="L55" s="11">
        <f>25833.33+27286.46</f>
        <v>53119.79</v>
      </c>
      <c r="M55" s="11">
        <f>25833.33+27286.46</f>
        <v>53119.79</v>
      </c>
      <c r="N55" s="11">
        <f>25833.33+27286.46</f>
        <v>53119.79</v>
      </c>
      <c r="O55" s="11">
        <f>25833.33+27286.46</f>
        <v>53119.79</v>
      </c>
      <c r="P55" s="11">
        <f>25833.35+27286.45</f>
        <v>53119.8</v>
      </c>
      <c r="Q55" s="12">
        <f>SUM(E55:P55)</f>
        <v>639956.25</v>
      </c>
      <c r="R55" s="11">
        <f>26666.67+26866.67</f>
        <v>53533.34</v>
      </c>
      <c r="S55" s="11">
        <f>26666.67+26866.67</f>
        <v>53533.34</v>
      </c>
      <c r="T55" s="11">
        <f>26666.67+26866.67</f>
        <v>53533.34</v>
      </c>
      <c r="U55" s="11">
        <f>26666.67+26866.67</f>
        <v>53533.34</v>
      </c>
      <c r="V55" s="11">
        <f>26666.67+26866.67</f>
        <v>53533.34</v>
      </c>
      <c r="W55" s="11">
        <f>26666.65+26866.65</f>
        <v>53533.3</v>
      </c>
      <c r="X55" s="11">
        <f>26666.67+26333.33</f>
        <v>53000</v>
      </c>
      <c r="Y55" s="11">
        <f>26666.67+26333.33</f>
        <v>53000</v>
      </c>
      <c r="Z55" s="11">
        <f>26666.67+26333.33</f>
        <v>53000</v>
      </c>
      <c r="AA55" s="11">
        <f>26666.67+26333.33</f>
        <v>53000</v>
      </c>
      <c r="AB55" s="11">
        <f>26666.67+26333.33</f>
        <v>53000</v>
      </c>
      <c r="AC55" s="11">
        <f>26666.65+26333.35</f>
        <v>53000</v>
      </c>
      <c r="AD55" s="12">
        <f>SUM(R55:AC55)</f>
        <v>639200</v>
      </c>
      <c r="AE55" s="12">
        <f>28333.33+25800</f>
        <v>54133.33</v>
      </c>
      <c r="AF55" s="12">
        <f>28333.33+25800</f>
        <v>54133.33</v>
      </c>
      <c r="AG55" s="12">
        <f>28333.33+25800</f>
        <v>54133.33</v>
      </c>
      <c r="AH55" s="12">
        <f>28333.33+25800</f>
        <v>54133.33</v>
      </c>
      <c r="AI55" s="12">
        <f>28333.33+25800</f>
        <v>54133.33</v>
      </c>
      <c r="AJ55" s="12">
        <f>28333.35+25800</f>
        <v>54133.35</v>
      </c>
      <c r="AK55" s="12">
        <f>28333.33+25233.33</f>
        <v>53566.66</v>
      </c>
      <c r="AL55" s="12">
        <f>28333.33+25233.33</f>
        <v>53566.66</v>
      </c>
      <c r="AM55" s="12">
        <f>28333.33+25233.33</f>
        <v>53566.66</v>
      </c>
      <c r="AN55" s="12">
        <f>28333.33+25233.33</f>
        <v>53566.66</v>
      </c>
      <c r="AO55" s="12">
        <f>28333.33+25233.33</f>
        <v>53566.66</v>
      </c>
      <c r="AP55" s="12">
        <f>28333.35+25233.35</f>
        <v>53566.7</v>
      </c>
      <c r="AQ55" s="3">
        <f>SUM(AE55:AP55)</f>
        <v>646200.00000000012</v>
      </c>
      <c r="AR55" s="3">
        <f>30000+24666.67</f>
        <v>54666.67</v>
      </c>
      <c r="AS55" s="3">
        <f>30000+24666.67</f>
        <v>54666.67</v>
      </c>
      <c r="AT55" s="3">
        <f>30000+24666.67</f>
        <v>54666.67</v>
      </c>
      <c r="AU55" s="3">
        <f>30000+24666.67</f>
        <v>54666.67</v>
      </c>
      <c r="AV55" s="3">
        <f>30000+24666.67</f>
        <v>54666.67</v>
      </c>
      <c r="AW55" s="3">
        <f>30000+24666.65</f>
        <v>54666.65</v>
      </c>
      <c r="AX55" s="3">
        <f>29166.67+24066.67</f>
        <v>53233.34</v>
      </c>
      <c r="AY55" s="3">
        <f>29166.67+24066.67</f>
        <v>53233.34</v>
      </c>
      <c r="AZ55" s="3">
        <f>29166.67+24066.67</f>
        <v>53233.34</v>
      </c>
      <c r="BA55" s="3">
        <f>29166.67+24066.67</f>
        <v>53233.34</v>
      </c>
      <c r="BB55" s="3">
        <f>29166.67+24066.67</f>
        <v>53233.34</v>
      </c>
      <c r="BC55" s="3">
        <f>29166.65+24066.65</f>
        <v>53233.3</v>
      </c>
      <c r="BD55" s="3">
        <f>SUM(AR55:BC55)</f>
        <v>647399.99999999988</v>
      </c>
    </row>
    <row r="56" spans="1:56" ht="13.5" thickBot="1" x14ac:dyDescent="0.35">
      <c r="D56" s="13" t="s">
        <v>35</v>
      </c>
      <c r="E56" s="14">
        <f t="shared" ref="E56:P56" si="35">SUM(E53:E55)</f>
        <v>54382.080000000002</v>
      </c>
      <c r="F56" s="14">
        <f t="shared" si="35"/>
        <v>54132.08</v>
      </c>
      <c r="G56" s="14">
        <f t="shared" si="35"/>
        <v>54132.08</v>
      </c>
      <c r="H56" s="14">
        <f t="shared" si="35"/>
        <v>54132.08</v>
      </c>
      <c r="I56" s="14">
        <f t="shared" si="35"/>
        <v>54132.08</v>
      </c>
      <c r="J56" s="14">
        <f t="shared" si="35"/>
        <v>54132.1</v>
      </c>
      <c r="K56" s="14">
        <f t="shared" si="35"/>
        <v>53712.29</v>
      </c>
      <c r="L56" s="14">
        <f t="shared" si="35"/>
        <v>53712.29</v>
      </c>
      <c r="M56" s="14">
        <f t="shared" si="35"/>
        <v>53712.29</v>
      </c>
      <c r="N56" s="14">
        <f t="shared" si="35"/>
        <v>53712.29</v>
      </c>
      <c r="O56" s="14">
        <f t="shared" si="35"/>
        <v>53712.29</v>
      </c>
      <c r="P56" s="14">
        <f t="shared" si="35"/>
        <v>53712.3</v>
      </c>
      <c r="Q56" s="14">
        <f>SUM(Q53:Q55)</f>
        <v>647316.25</v>
      </c>
      <c r="R56" s="14">
        <f t="shared" ref="R56:AC56" si="36">SUM(R53:R55)</f>
        <v>54350.009999999995</v>
      </c>
      <c r="S56" s="14">
        <f t="shared" si="36"/>
        <v>54100.009999999995</v>
      </c>
      <c r="T56" s="14">
        <f t="shared" si="36"/>
        <v>54100.009999999995</v>
      </c>
      <c r="U56" s="14">
        <f t="shared" si="36"/>
        <v>54100.009999999995</v>
      </c>
      <c r="V56" s="14">
        <f t="shared" si="36"/>
        <v>54100.009999999995</v>
      </c>
      <c r="W56" s="14">
        <f t="shared" si="36"/>
        <v>54099.97</v>
      </c>
      <c r="X56" s="14">
        <f t="shared" si="36"/>
        <v>53566.67</v>
      </c>
      <c r="Y56" s="14">
        <f t="shared" si="36"/>
        <v>53566.67</v>
      </c>
      <c r="Z56" s="14">
        <f t="shared" si="36"/>
        <v>53566.67</v>
      </c>
      <c r="AA56" s="14">
        <f t="shared" si="36"/>
        <v>53566.67</v>
      </c>
      <c r="AB56" s="14">
        <f t="shared" si="36"/>
        <v>53566.67</v>
      </c>
      <c r="AC56" s="14">
        <f t="shared" si="36"/>
        <v>53566.67</v>
      </c>
      <c r="AD56" s="14">
        <f>SUM(AD53:AD55)</f>
        <v>646250.04</v>
      </c>
      <c r="AE56" s="14">
        <f>SUM(AE53:AE55)</f>
        <v>54923.33</v>
      </c>
      <c r="AF56" s="14">
        <f>SUM(AF53:AF55)</f>
        <v>54673.33</v>
      </c>
      <c r="AG56" s="14">
        <f t="shared" ref="AG56:BD56" si="37">SUM(AG53:AG55)</f>
        <v>54673.33</v>
      </c>
      <c r="AH56" s="14">
        <f t="shared" si="37"/>
        <v>54673.33</v>
      </c>
      <c r="AI56" s="14">
        <f t="shared" si="37"/>
        <v>54673.33</v>
      </c>
      <c r="AJ56" s="14">
        <f t="shared" si="37"/>
        <v>54673.35</v>
      </c>
      <c r="AK56" s="14">
        <f t="shared" si="37"/>
        <v>54106.66</v>
      </c>
      <c r="AL56" s="14">
        <f t="shared" si="37"/>
        <v>54106.66</v>
      </c>
      <c r="AM56" s="14">
        <f t="shared" si="37"/>
        <v>54106.66</v>
      </c>
      <c r="AN56" s="14">
        <f t="shared" si="37"/>
        <v>54106.66</v>
      </c>
      <c r="AO56" s="14">
        <f t="shared" si="37"/>
        <v>54106.66</v>
      </c>
      <c r="AP56" s="14">
        <f t="shared" si="37"/>
        <v>54106.7</v>
      </c>
      <c r="AQ56" s="22">
        <f t="shared" si="37"/>
        <v>652930.00000000012</v>
      </c>
      <c r="AR56" s="22">
        <f t="shared" si="37"/>
        <v>55428.34</v>
      </c>
      <c r="AS56" s="22">
        <f t="shared" si="37"/>
        <v>55178.34</v>
      </c>
      <c r="AT56" s="22">
        <f t="shared" si="37"/>
        <v>55178.34</v>
      </c>
      <c r="AU56" s="22">
        <f t="shared" si="37"/>
        <v>55178.34</v>
      </c>
      <c r="AV56" s="22">
        <f t="shared" si="37"/>
        <v>55178.34</v>
      </c>
      <c r="AW56" s="22">
        <f t="shared" si="37"/>
        <v>55178.32</v>
      </c>
      <c r="AX56" s="22">
        <f t="shared" si="37"/>
        <v>53745.009999999995</v>
      </c>
      <c r="AY56" s="22">
        <f t="shared" si="37"/>
        <v>53745.009999999995</v>
      </c>
      <c r="AZ56" s="22">
        <f t="shared" si="37"/>
        <v>53745.009999999995</v>
      </c>
      <c r="BA56" s="22">
        <f t="shared" si="37"/>
        <v>53745.009999999995</v>
      </c>
      <c r="BB56" s="22">
        <f t="shared" si="37"/>
        <v>53745.009999999995</v>
      </c>
      <c r="BC56" s="22">
        <f t="shared" si="37"/>
        <v>53744.97</v>
      </c>
      <c r="BD56" s="22">
        <f t="shared" si="37"/>
        <v>653790.03999999992</v>
      </c>
    </row>
    <row r="57" spans="1:56" x14ac:dyDescent="0.3">
      <c r="D57" s="15"/>
    </row>
    <row r="58" spans="1:56" ht="15.75" customHeight="1" x14ac:dyDescent="0.35">
      <c r="B58" s="20"/>
      <c r="C58" s="30" t="s">
        <v>6</v>
      </c>
      <c r="D58" s="10" t="s">
        <v>36</v>
      </c>
    </row>
    <row r="59" spans="1:56" x14ac:dyDescent="0.3">
      <c r="D59" s="8" t="s">
        <v>8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f>SUM(E59:P59)</f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/>
      <c r="AD59" s="12">
        <f>SUM(R59:AC59)</f>
        <v>0</v>
      </c>
    </row>
    <row r="60" spans="1:56" x14ac:dyDescent="0.3">
      <c r="D60" s="8" t="s">
        <v>9</v>
      </c>
      <c r="E60" s="11">
        <v>250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>
        <f>SUM(E60:P60)</f>
        <v>250</v>
      </c>
      <c r="R60" s="11">
        <v>250</v>
      </c>
      <c r="AD60" s="12">
        <f>SUM(R60:AC60)</f>
        <v>250</v>
      </c>
    </row>
    <row r="61" spans="1:56" ht="13.5" thickBot="1" x14ac:dyDescent="0.35">
      <c r="D61" s="8" t="s">
        <v>10</v>
      </c>
      <c r="E61" s="11">
        <f>10833.33+38208.33</f>
        <v>49041.66</v>
      </c>
      <c r="F61" s="11">
        <f>10833.33+38208.33</f>
        <v>49041.66</v>
      </c>
      <c r="G61" s="11">
        <f>10833.37+38208.35</f>
        <v>49041.72</v>
      </c>
      <c r="H61" s="11">
        <f>11666.67+37450</f>
        <v>49116.67</v>
      </c>
      <c r="I61" s="11">
        <f t="shared" ref="I61:S61" si="38">11666.67+37450</f>
        <v>49116.67</v>
      </c>
      <c r="J61" s="11">
        <f t="shared" si="38"/>
        <v>49116.67</v>
      </c>
      <c r="K61" s="11">
        <f t="shared" si="38"/>
        <v>49116.67</v>
      </c>
      <c r="L61" s="11">
        <f t="shared" si="38"/>
        <v>49116.67</v>
      </c>
      <c r="M61" s="11">
        <f t="shared" si="38"/>
        <v>49116.67</v>
      </c>
      <c r="N61" s="11">
        <f t="shared" si="38"/>
        <v>49116.67</v>
      </c>
      <c r="O61" s="11">
        <f t="shared" si="38"/>
        <v>49116.67</v>
      </c>
      <c r="P61" s="11">
        <f t="shared" si="38"/>
        <v>49116.67</v>
      </c>
      <c r="Q61" s="12">
        <f>SUM(E61:P61)</f>
        <v>589175.06999999995</v>
      </c>
      <c r="R61" s="11">
        <f t="shared" si="38"/>
        <v>49116.67</v>
      </c>
      <c r="S61" s="11">
        <f t="shared" si="38"/>
        <v>49116.67</v>
      </c>
      <c r="T61" s="11">
        <f>11666.63+37450</f>
        <v>49116.63</v>
      </c>
      <c r="U61" s="11">
        <f>12500+36633.33</f>
        <v>49133.33</v>
      </c>
      <c r="V61" s="11">
        <f t="shared" ref="V61:AB61" si="39">12500+36633.33</f>
        <v>49133.33</v>
      </c>
      <c r="W61" s="11">
        <f t="shared" si="39"/>
        <v>49133.33</v>
      </c>
      <c r="X61" s="11">
        <f t="shared" si="39"/>
        <v>49133.33</v>
      </c>
      <c r="Y61" s="11">
        <f t="shared" si="39"/>
        <v>49133.33</v>
      </c>
      <c r="Z61" s="11">
        <f>12500+36633.35</f>
        <v>49133.35</v>
      </c>
      <c r="AA61" s="11">
        <f t="shared" si="39"/>
        <v>49133.33</v>
      </c>
      <c r="AB61" s="11">
        <f t="shared" si="39"/>
        <v>49133.33</v>
      </c>
      <c r="AC61" s="11"/>
      <c r="AD61" s="12">
        <f>SUM(R61:AC61)</f>
        <v>540416.63</v>
      </c>
    </row>
    <row r="62" spans="1:56" ht="13.5" thickBot="1" x14ac:dyDescent="0.35">
      <c r="D62" s="13" t="s">
        <v>37</v>
      </c>
      <c r="E62" s="14">
        <f t="shared" ref="E62:P62" si="40">SUM(E59:E61)</f>
        <v>49291.66</v>
      </c>
      <c r="F62" s="14">
        <f t="shared" si="40"/>
        <v>49041.66</v>
      </c>
      <c r="G62" s="14">
        <f t="shared" si="40"/>
        <v>49041.72</v>
      </c>
      <c r="H62" s="14">
        <f t="shared" si="40"/>
        <v>49116.67</v>
      </c>
      <c r="I62" s="14">
        <f t="shared" si="40"/>
        <v>49116.67</v>
      </c>
      <c r="J62" s="14">
        <f t="shared" si="40"/>
        <v>49116.67</v>
      </c>
      <c r="K62" s="14">
        <f t="shared" si="40"/>
        <v>49116.67</v>
      </c>
      <c r="L62" s="14">
        <f t="shared" si="40"/>
        <v>49116.67</v>
      </c>
      <c r="M62" s="14">
        <f t="shared" si="40"/>
        <v>49116.67</v>
      </c>
      <c r="N62" s="14">
        <f t="shared" si="40"/>
        <v>49116.67</v>
      </c>
      <c r="O62" s="14">
        <f t="shared" si="40"/>
        <v>49116.67</v>
      </c>
      <c r="P62" s="14">
        <f t="shared" si="40"/>
        <v>49116.67</v>
      </c>
      <c r="Q62" s="14">
        <f>SUM(Q59:Q61)</f>
        <v>589425.06999999995</v>
      </c>
      <c r="R62" s="14">
        <f t="shared" ref="R62:AC62" si="41">SUM(R59:R61)</f>
        <v>49366.67</v>
      </c>
      <c r="S62" s="14">
        <f t="shared" si="41"/>
        <v>49116.67</v>
      </c>
      <c r="T62" s="14">
        <f t="shared" si="41"/>
        <v>49116.63</v>
      </c>
      <c r="U62" s="14">
        <f t="shared" si="41"/>
        <v>49133.33</v>
      </c>
      <c r="V62" s="14">
        <f t="shared" si="41"/>
        <v>49133.33</v>
      </c>
      <c r="W62" s="14">
        <f t="shared" si="41"/>
        <v>49133.33</v>
      </c>
      <c r="X62" s="14">
        <f t="shared" si="41"/>
        <v>49133.33</v>
      </c>
      <c r="Y62" s="14">
        <f t="shared" si="41"/>
        <v>49133.33</v>
      </c>
      <c r="Z62" s="14">
        <f t="shared" si="41"/>
        <v>49133.35</v>
      </c>
      <c r="AA62" s="14">
        <f t="shared" si="41"/>
        <v>49133.33</v>
      </c>
      <c r="AB62" s="14">
        <f t="shared" si="41"/>
        <v>49133.33</v>
      </c>
      <c r="AC62" s="14">
        <f t="shared" si="41"/>
        <v>0</v>
      </c>
      <c r="AD62" s="14">
        <f>SUM(AD59:AD61)</f>
        <v>540666.63</v>
      </c>
    </row>
    <row r="63" spans="1:56" x14ac:dyDescent="0.3">
      <c r="D63" s="15"/>
    </row>
    <row r="64" spans="1:56" ht="15.75" customHeight="1" x14ac:dyDescent="0.35">
      <c r="B64" s="20">
        <f>B52+1</f>
        <v>7</v>
      </c>
      <c r="C64" s="24" t="s">
        <v>14</v>
      </c>
      <c r="D64" s="25" t="s">
        <v>38</v>
      </c>
    </row>
    <row r="65" spans="1:56" x14ac:dyDescent="0.3">
      <c r="D65" s="8" t="s">
        <v>8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f>SUM(E65:P65)</f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f>SUM(R65:AC65)</f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3">
        <f>SUM(AE65:AP65)</f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f>SUM(AR65:BC65)</f>
        <v>0</v>
      </c>
    </row>
    <row r="66" spans="1:56" x14ac:dyDescent="0.3">
      <c r="D66" s="8" t="s">
        <v>9</v>
      </c>
      <c r="E66" s="11">
        <v>250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>
        <f>SUM(E66:P66)</f>
        <v>250</v>
      </c>
      <c r="R66" s="11">
        <v>250</v>
      </c>
      <c r="AD66" s="12">
        <f>SUM(R66:AC66)</f>
        <v>250</v>
      </c>
      <c r="AE66" s="11">
        <v>250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3">
        <f>SUM(AE66:AP66)</f>
        <v>250</v>
      </c>
      <c r="AR66" s="3">
        <v>250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f>SUM(AR66:BC66)</f>
        <v>250</v>
      </c>
    </row>
    <row r="67" spans="1:56" ht="13.5" thickBot="1" x14ac:dyDescent="0.35">
      <c r="A67" t="s">
        <v>39</v>
      </c>
      <c r="D67" s="8" t="s">
        <v>10</v>
      </c>
      <c r="E67" s="11">
        <f>12916.67+26916.67</f>
        <v>39833.339999999997</v>
      </c>
      <c r="F67" s="11">
        <f>12916.67+26916.67</f>
        <v>39833.339999999997</v>
      </c>
      <c r="G67" s="11">
        <f>12916.67+26916.67</f>
        <v>39833.339999999997</v>
      </c>
      <c r="H67" s="11">
        <f>12916.63+26916.65</f>
        <v>39833.279999999999</v>
      </c>
      <c r="I67" s="11">
        <f>13333.33+26270.83</f>
        <v>39604.160000000003</v>
      </c>
      <c r="J67" s="11">
        <f t="shared" ref="J67:T67" si="42">13333.33+26270.83</f>
        <v>39604.160000000003</v>
      </c>
      <c r="K67" s="11">
        <f t="shared" si="42"/>
        <v>39604.160000000003</v>
      </c>
      <c r="L67" s="11">
        <f t="shared" si="42"/>
        <v>39604.160000000003</v>
      </c>
      <c r="M67" s="11">
        <f t="shared" si="42"/>
        <v>39604.160000000003</v>
      </c>
      <c r="N67" s="11">
        <f>13333.33+26270.85</f>
        <v>39604.18</v>
      </c>
      <c r="O67" s="11">
        <f t="shared" si="42"/>
        <v>39604.160000000003</v>
      </c>
      <c r="P67" s="11">
        <f t="shared" si="42"/>
        <v>39604.160000000003</v>
      </c>
      <c r="Q67" s="12">
        <f>SUM(E67:P67)</f>
        <v>476166.60000000009</v>
      </c>
      <c r="R67" s="11">
        <f t="shared" si="42"/>
        <v>39604.160000000003</v>
      </c>
      <c r="S67" s="11">
        <f t="shared" si="42"/>
        <v>39604.160000000003</v>
      </c>
      <c r="T67" s="11">
        <f t="shared" si="42"/>
        <v>39604.160000000003</v>
      </c>
      <c r="U67" s="11">
        <f>13333.37+26270.85</f>
        <v>39604.22</v>
      </c>
      <c r="V67" s="11">
        <f>14166.67+25604.17</f>
        <v>39770.839999999997</v>
      </c>
      <c r="W67" s="11">
        <f t="shared" ref="W67:AG67" si="43">14166.67+25604.17</f>
        <v>39770.839999999997</v>
      </c>
      <c r="X67" s="11">
        <f t="shared" si="43"/>
        <v>39770.839999999997</v>
      </c>
      <c r="Y67" s="11">
        <f t="shared" si="43"/>
        <v>39770.839999999997</v>
      </c>
      <c r="Z67" s="11">
        <f t="shared" si="43"/>
        <v>39770.839999999997</v>
      </c>
      <c r="AA67" s="11">
        <f>14166.67+25604.15</f>
        <v>39770.82</v>
      </c>
      <c r="AB67" s="11">
        <f t="shared" si="43"/>
        <v>39770.839999999997</v>
      </c>
      <c r="AC67" s="11">
        <f t="shared" si="43"/>
        <v>39770.839999999997</v>
      </c>
      <c r="AD67" s="12">
        <f>SUM(R67:AC67)</f>
        <v>476583.39999999991</v>
      </c>
      <c r="AE67" s="11">
        <f t="shared" si="43"/>
        <v>39770.839999999997</v>
      </c>
      <c r="AF67" s="11">
        <f t="shared" si="43"/>
        <v>39770.839999999997</v>
      </c>
      <c r="AG67" s="11">
        <f t="shared" si="43"/>
        <v>39770.839999999997</v>
      </c>
      <c r="AH67" s="11">
        <f>14166.63+25604.15</f>
        <v>39770.78</v>
      </c>
      <c r="AI67" s="12">
        <f>15000+24895.83</f>
        <v>39895.83</v>
      </c>
      <c r="AJ67" s="12">
        <f t="shared" ref="AJ67:AP67" si="44">15000+24895.83</f>
        <v>39895.83</v>
      </c>
      <c r="AK67" s="12">
        <f t="shared" si="44"/>
        <v>39895.83</v>
      </c>
      <c r="AL67" s="12">
        <f t="shared" si="44"/>
        <v>39895.83</v>
      </c>
      <c r="AM67" s="12">
        <f t="shared" si="44"/>
        <v>39895.83</v>
      </c>
      <c r="AN67" s="12">
        <f>15000+24895.85</f>
        <v>39895.85</v>
      </c>
      <c r="AO67" s="12">
        <f t="shared" si="44"/>
        <v>39895.83</v>
      </c>
      <c r="AP67" s="12">
        <f t="shared" si="44"/>
        <v>39895.83</v>
      </c>
      <c r="AQ67" s="3">
        <f>SUM(AE67:AP67)</f>
        <v>478249.96000000008</v>
      </c>
      <c r="AR67" s="3">
        <f>15000+24895.83</f>
        <v>39895.83</v>
      </c>
      <c r="AS67" s="3">
        <f>15000+24895.83</f>
        <v>39895.83</v>
      </c>
      <c r="AT67" s="3">
        <f>15000+24895.83</f>
        <v>39895.83</v>
      </c>
      <c r="AU67" s="3">
        <f>15000+24895.85</f>
        <v>39895.85</v>
      </c>
      <c r="AV67" s="3">
        <f>15833.33+24145.83</f>
        <v>39979.160000000003</v>
      </c>
      <c r="AW67" s="3">
        <f t="shared" ref="AW67:BC67" si="45">15833.33+24145.83</f>
        <v>39979.160000000003</v>
      </c>
      <c r="AX67" s="3">
        <f t="shared" si="45"/>
        <v>39979.160000000003</v>
      </c>
      <c r="AY67" s="3">
        <f t="shared" si="45"/>
        <v>39979.160000000003</v>
      </c>
      <c r="AZ67" s="3">
        <f t="shared" si="45"/>
        <v>39979.160000000003</v>
      </c>
      <c r="BA67" s="65">
        <f>15833.33+24145.85</f>
        <v>39979.18</v>
      </c>
      <c r="BB67" s="3">
        <f t="shared" si="45"/>
        <v>39979.160000000003</v>
      </c>
      <c r="BC67" s="3">
        <f t="shared" si="45"/>
        <v>39979.160000000003</v>
      </c>
      <c r="BD67" s="3">
        <f>SUM(AR67:BC67)</f>
        <v>479416.64</v>
      </c>
    </row>
    <row r="68" spans="1:56" ht="13.5" thickBot="1" x14ac:dyDescent="0.35">
      <c r="D68" s="13" t="s">
        <v>40</v>
      </c>
      <c r="E68" s="14">
        <f t="shared" ref="E68:P68" si="46">SUM(E65:E67)</f>
        <v>40083.339999999997</v>
      </c>
      <c r="F68" s="14">
        <f t="shared" si="46"/>
        <v>39833.339999999997</v>
      </c>
      <c r="G68" s="14">
        <f t="shared" si="46"/>
        <v>39833.339999999997</v>
      </c>
      <c r="H68" s="14">
        <f t="shared" si="46"/>
        <v>39833.279999999999</v>
      </c>
      <c r="I68" s="14">
        <f t="shared" si="46"/>
        <v>39604.160000000003</v>
      </c>
      <c r="J68" s="14">
        <f t="shared" si="46"/>
        <v>39604.160000000003</v>
      </c>
      <c r="K68" s="14">
        <f t="shared" si="46"/>
        <v>39604.160000000003</v>
      </c>
      <c r="L68" s="14">
        <f t="shared" si="46"/>
        <v>39604.160000000003</v>
      </c>
      <c r="M68" s="14">
        <f t="shared" si="46"/>
        <v>39604.160000000003</v>
      </c>
      <c r="N68" s="14">
        <f t="shared" si="46"/>
        <v>39604.18</v>
      </c>
      <c r="O68" s="14">
        <f t="shared" si="46"/>
        <v>39604.160000000003</v>
      </c>
      <c r="P68" s="14">
        <f t="shared" si="46"/>
        <v>39604.160000000003</v>
      </c>
      <c r="Q68" s="14">
        <f>SUM(Q65:Q67)</f>
        <v>476416.60000000009</v>
      </c>
      <c r="R68" s="14">
        <f t="shared" ref="R68:AC68" si="47">SUM(R65:R67)</f>
        <v>39854.160000000003</v>
      </c>
      <c r="S68" s="14">
        <f t="shared" si="47"/>
        <v>39604.160000000003</v>
      </c>
      <c r="T68" s="14">
        <f t="shared" si="47"/>
        <v>39604.160000000003</v>
      </c>
      <c r="U68" s="14">
        <f t="shared" si="47"/>
        <v>39604.22</v>
      </c>
      <c r="V68" s="14">
        <f t="shared" si="47"/>
        <v>39770.839999999997</v>
      </c>
      <c r="W68" s="14">
        <f t="shared" si="47"/>
        <v>39770.839999999997</v>
      </c>
      <c r="X68" s="14">
        <f t="shared" si="47"/>
        <v>39770.839999999997</v>
      </c>
      <c r="Y68" s="14">
        <f t="shared" si="47"/>
        <v>39770.839999999997</v>
      </c>
      <c r="Z68" s="14">
        <f t="shared" si="47"/>
        <v>39770.839999999997</v>
      </c>
      <c r="AA68" s="14">
        <f t="shared" si="47"/>
        <v>39770.82</v>
      </c>
      <c r="AB68" s="14">
        <f t="shared" si="47"/>
        <v>39770.839999999997</v>
      </c>
      <c r="AC68" s="14">
        <f t="shared" si="47"/>
        <v>39770.839999999997</v>
      </c>
      <c r="AD68" s="14">
        <f>SUM(AD65:AD67)</f>
        <v>476833.39999999991</v>
      </c>
      <c r="AE68" s="14">
        <f>SUM(AE65:AE67)</f>
        <v>40020.839999999997</v>
      </c>
      <c r="AF68" s="14">
        <f>SUM(AF65:AF67)</f>
        <v>39770.839999999997</v>
      </c>
      <c r="AG68" s="14">
        <f t="shared" ref="AG68:AP68" si="48">SUM(AG65:AG67)</f>
        <v>39770.839999999997</v>
      </c>
      <c r="AH68" s="14">
        <f t="shared" si="48"/>
        <v>39770.78</v>
      </c>
      <c r="AI68" s="14">
        <f t="shared" si="48"/>
        <v>39895.83</v>
      </c>
      <c r="AJ68" s="14">
        <f t="shared" si="48"/>
        <v>39895.83</v>
      </c>
      <c r="AK68" s="14">
        <f t="shared" si="48"/>
        <v>39895.83</v>
      </c>
      <c r="AL68" s="14">
        <f t="shared" si="48"/>
        <v>39895.83</v>
      </c>
      <c r="AM68" s="14">
        <f t="shared" si="48"/>
        <v>39895.83</v>
      </c>
      <c r="AN68" s="14">
        <f t="shared" si="48"/>
        <v>39895.85</v>
      </c>
      <c r="AO68" s="14">
        <f t="shared" si="48"/>
        <v>39895.83</v>
      </c>
      <c r="AP68" s="14">
        <f t="shared" si="48"/>
        <v>39895.83</v>
      </c>
      <c r="AQ68" s="22">
        <f>SUM(AQ65:AQ67)</f>
        <v>478499.96000000008</v>
      </c>
      <c r="AR68" s="22">
        <f>SUM(AR65:AR67)</f>
        <v>40145.83</v>
      </c>
      <c r="AS68" s="22">
        <f t="shared" ref="AS68:BD68" si="49">SUM(AS65:AS67)</f>
        <v>39895.83</v>
      </c>
      <c r="AT68" s="22">
        <f t="shared" si="49"/>
        <v>39895.83</v>
      </c>
      <c r="AU68" s="22">
        <f t="shared" si="49"/>
        <v>39895.85</v>
      </c>
      <c r="AV68" s="22">
        <f t="shared" si="49"/>
        <v>39979.160000000003</v>
      </c>
      <c r="AW68" s="22">
        <f t="shared" si="49"/>
        <v>39979.160000000003</v>
      </c>
      <c r="AX68" s="22">
        <f t="shared" si="49"/>
        <v>39979.160000000003</v>
      </c>
      <c r="AY68" s="22">
        <f t="shared" si="49"/>
        <v>39979.160000000003</v>
      </c>
      <c r="AZ68" s="22">
        <f t="shared" si="49"/>
        <v>39979.160000000003</v>
      </c>
      <c r="BA68" s="22">
        <f t="shared" si="49"/>
        <v>39979.18</v>
      </c>
      <c r="BB68" s="22">
        <f t="shared" si="49"/>
        <v>39979.160000000003</v>
      </c>
      <c r="BC68" s="22">
        <f t="shared" si="49"/>
        <v>39979.160000000003</v>
      </c>
      <c r="BD68" s="22">
        <f t="shared" si="49"/>
        <v>479666.64</v>
      </c>
    </row>
    <row r="69" spans="1:56" x14ac:dyDescent="0.3">
      <c r="D69" s="15"/>
    </row>
    <row r="70" spans="1:56" ht="15.75" customHeight="1" x14ac:dyDescent="0.35">
      <c r="B70" s="20">
        <f>+B64+1</f>
        <v>8</v>
      </c>
      <c r="C70" s="24" t="s">
        <v>14</v>
      </c>
      <c r="D70" s="25" t="s">
        <v>41</v>
      </c>
    </row>
    <row r="71" spans="1:56" x14ac:dyDescent="0.3">
      <c r="D71" s="8" t="str">
        <f>D65</f>
        <v>Debt Reserve</v>
      </c>
      <c r="E71" s="26">
        <v>1125.83</v>
      </c>
      <c r="F71" s="26">
        <v>1125.83</v>
      </c>
      <c r="G71" s="26">
        <v>1125.83</v>
      </c>
      <c r="H71" s="26">
        <v>1125.83</v>
      </c>
      <c r="I71" s="26">
        <v>1125.83</v>
      </c>
      <c r="J71" s="26">
        <v>1125.83</v>
      </c>
      <c r="K71" s="26">
        <v>1125.83</v>
      </c>
      <c r="L71" s="26">
        <v>1125.83</v>
      </c>
      <c r="M71" s="26">
        <v>1061.25</v>
      </c>
      <c r="N71" s="26">
        <v>1061.25</v>
      </c>
      <c r="O71" s="26">
        <v>1061.25</v>
      </c>
      <c r="P71" s="26">
        <v>1061.25</v>
      </c>
      <c r="Q71" s="12">
        <f>SUM(E71:P71)</f>
        <v>13251.64</v>
      </c>
      <c r="R71" s="26">
        <v>1061.25</v>
      </c>
      <c r="S71" s="26">
        <v>1061.25</v>
      </c>
      <c r="T71" s="26">
        <v>1061.25</v>
      </c>
      <c r="U71" s="26">
        <v>1061.25</v>
      </c>
      <c r="V71" s="26">
        <v>1061.25</v>
      </c>
      <c r="W71" s="26">
        <v>1061.25</v>
      </c>
      <c r="X71" s="26">
        <v>1061.25</v>
      </c>
      <c r="Y71" s="26">
        <v>1061.25</v>
      </c>
      <c r="Z71" s="26">
        <v>993.75</v>
      </c>
      <c r="AA71" s="26">
        <v>993.75</v>
      </c>
      <c r="AB71" s="26">
        <v>993.75</v>
      </c>
      <c r="AC71" s="26">
        <v>993.75</v>
      </c>
      <c r="AD71" s="12">
        <f>SUM(R71:AC71)</f>
        <v>12465</v>
      </c>
      <c r="AE71" s="26">
        <v>993.75</v>
      </c>
      <c r="AF71" s="26">
        <v>993.75</v>
      </c>
      <c r="AG71" s="26">
        <v>993.75</v>
      </c>
      <c r="AH71" s="26">
        <v>993.75</v>
      </c>
      <c r="AI71" s="26">
        <v>993.75</v>
      </c>
      <c r="AJ71" s="26">
        <v>993.75</v>
      </c>
      <c r="AK71" s="26">
        <v>993.75</v>
      </c>
      <c r="AL71" s="26">
        <v>993.75</v>
      </c>
      <c r="AM71" s="12">
        <v>923.33</v>
      </c>
      <c r="AN71" s="12">
        <v>923.33</v>
      </c>
      <c r="AO71" s="12">
        <v>923.33</v>
      </c>
      <c r="AP71" s="12">
        <v>923.33</v>
      </c>
      <c r="AQ71" s="3">
        <f>SUM(AE71:AP71)</f>
        <v>11643.32</v>
      </c>
      <c r="AR71" s="3">
        <v>923.33</v>
      </c>
      <c r="AS71" s="3">
        <v>923.33</v>
      </c>
      <c r="AT71" s="3">
        <v>923.33</v>
      </c>
      <c r="AU71" s="3">
        <v>923.33</v>
      </c>
      <c r="AV71" s="3">
        <v>923.33</v>
      </c>
      <c r="AW71" s="3">
        <v>923.33</v>
      </c>
      <c r="AX71" s="3">
        <v>923.33</v>
      </c>
      <c r="AY71" s="3">
        <v>923.33</v>
      </c>
      <c r="AZ71" s="3">
        <v>849.17</v>
      </c>
      <c r="BA71" s="3">
        <v>849.17</v>
      </c>
      <c r="BB71" s="3">
        <v>849.17</v>
      </c>
      <c r="BC71" s="3">
        <v>849.17</v>
      </c>
      <c r="BD71" s="3">
        <f>SUM(AR71:BC71)</f>
        <v>10783.32</v>
      </c>
    </row>
    <row r="72" spans="1:56" x14ac:dyDescent="0.3">
      <c r="D72" s="8" t="str">
        <f>D66</f>
        <v>Treasury Fee</v>
      </c>
      <c r="E72" s="11">
        <v>250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>
        <f>SUM(E72:P72)</f>
        <v>250</v>
      </c>
      <c r="R72" s="11">
        <v>250</v>
      </c>
      <c r="AD72" s="12">
        <f>SUM(R72:AC72)</f>
        <v>250</v>
      </c>
      <c r="AE72" s="11">
        <v>250</v>
      </c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3">
        <f>SUM(AE72:AP72)</f>
        <v>250</v>
      </c>
      <c r="AR72" s="3">
        <v>250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f>SUM(AR72:BC72)</f>
        <v>250</v>
      </c>
    </row>
    <row r="73" spans="1:56" ht="13.5" thickBot="1" x14ac:dyDescent="0.35">
      <c r="A73" t="s">
        <v>42</v>
      </c>
      <c r="D73" s="8" t="str">
        <f>D67</f>
        <v>Intercept</v>
      </c>
      <c r="E73" s="11">
        <f t="shared" ref="E73:O73" si="50">67500+47682.29</f>
        <v>115182.29000000001</v>
      </c>
      <c r="F73" s="11">
        <f t="shared" si="50"/>
        <v>115182.29000000001</v>
      </c>
      <c r="G73" s="11">
        <f t="shared" si="50"/>
        <v>115182.29000000001</v>
      </c>
      <c r="H73" s="11">
        <f t="shared" si="50"/>
        <v>115182.29000000001</v>
      </c>
      <c r="I73" s="11">
        <f t="shared" si="50"/>
        <v>115182.29000000001</v>
      </c>
      <c r="J73" s="11">
        <f t="shared" si="50"/>
        <v>115182.29000000001</v>
      </c>
      <c r="K73" s="11">
        <f t="shared" si="50"/>
        <v>115182.29000000001</v>
      </c>
      <c r="L73" s="11">
        <f t="shared" si="50"/>
        <v>115182.29000000001</v>
      </c>
      <c r="M73" s="11">
        <f t="shared" si="50"/>
        <v>115182.29000000001</v>
      </c>
      <c r="N73" s="11">
        <f t="shared" si="50"/>
        <v>115182.29000000001</v>
      </c>
      <c r="O73" s="11">
        <f t="shared" si="50"/>
        <v>115182.29000000001</v>
      </c>
      <c r="P73" s="11">
        <f>70416.67+44982.29</f>
        <v>115398.95999999999</v>
      </c>
      <c r="Q73" s="12">
        <f>SUM(E73:P73)</f>
        <v>1382404.1500000001</v>
      </c>
      <c r="R73" s="11">
        <f t="shared" ref="R73:AB73" si="51">70416.67+44982.29</f>
        <v>115398.95999999999</v>
      </c>
      <c r="S73" s="11">
        <f t="shared" si="51"/>
        <v>115398.95999999999</v>
      </c>
      <c r="T73" s="11">
        <f t="shared" si="51"/>
        <v>115398.95999999999</v>
      </c>
      <c r="U73" s="11">
        <f t="shared" si="51"/>
        <v>115398.95999999999</v>
      </c>
      <c r="V73" s="11">
        <f t="shared" si="51"/>
        <v>115398.95999999999</v>
      </c>
      <c r="W73" s="11">
        <f t="shared" si="51"/>
        <v>115398.95999999999</v>
      </c>
      <c r="X73" s="11">
        <f t="shared" si="51"/>
        <v>115398.95999999999</v>
      </c>
      <c r="Y73" s="11">
        <f t="shared" si="51"/>
        <v>115398.95999999999</v>
      </c>
      <c r="Z73" s="11">
        <f t="shared" si="51"/>
        <v>115398.95999999999</v>
      </c>
      <c r="AA73" s="11">
        <f t="shared" si="51"/>
        <v>115398.95999999999</v>
      </c>
      <c r="AB73" s="11">
        <f t="shared" si="51"/>
        <v>115398.95999999999</v>
      </c>
      <c r="AC73" s="11">
        <f>74166.67+41461.46</f>
        <v>115628.13</v>
      </c>
      <c r="AD73" s="12">
        <f>SUM(R73:AC73)</f>
        <v>1385016.69</v>
      </c>
      <c r="AE73" s="11">
        <f t="shared" ref="AE73:AO73" si="52">74166.67+41461.46</f>
        <v>115628.13</v>
      </c>
      <c r="AF73" s="11">
        <f t="shared" si="52"/>
        <v>115628.13</v>
      </c>
      <c r="AG73" s="11">
        <f t="shared" si="52"/>
        <v>115628.13</v>
      </c>
      <c r="AH73" s="11">
        <f t="shared" si="52"/>
        <v>115628.13</v>
      </c>
      <c r="AI73" s="11">
        <f t="shared" si="52"/>
        <v>115628.13</v>
      </c>
      <c r="AJ73" s="11">
        <f t="shared" si="52"/>
        <v>115628.13</v>
      </c>
      <c r="AK73" s="11">
        <f t="shared" si="52"/>
        <v>115628.13</v>
      </c>
      <c r="AL73" s="11">
        <f t="shared" si="52"/>
        <v>115628.13</v>
      </c>
      <c r="AM73" s="11">
        <f t="shared" si="52"/>
        <v>115628.13</v>
      </c>
      <c r="AN73" s="11">
        <f t="shared" si="52"/>
        <v>115628.13</v>
      </c>
      <c r="AO73" s="11">
        <f t="shared" si="52"/>
        <v>115628.13</v>
      </c>
      <c r="AP73" s="12">
        <f>77916.67+37753.13</f>
        <v>115669.79999999999</v>
      </c>
      <c r="AQ73" s="3">
        <f>SUM(AE73:AP73)</f>
        <v>1387579.2300000002</v>
      </c>
      <c r="AR73" s="3">
        <f>77916.67+37753.13</f>
        <v>115669.79999999999</v>
      </c>
      <c r="AS73" s="3">
        <f>77916.67+37753.13</f>
        <v>115669.79999999999</v>
      </c>
      <c r="AT73" s="3">
        <f t="shared" ref="AT73:AY73" si="53">77916.67+37753.13</f>
        <v>115669.79999999999</v>
      </c>
      <c r="AU73" s="3">
        <f t="shared" si="53"/>
        <v>115669.79999999999</v>
      </c>
      <c r="AV73" s="3">
        <f t="shared" si="53"/>
        <v>115669.79999999999</v>
      </c>
      <c r="AW73" s="3">
        <f t="shared" si="53"/>
        <v>115669.79999999999</v>
      </c>
      <c r="AX73" s="3">
        <f t="shared" si="53"/>
        <v>115669.79999999999</v>
      </c>
      <c r="AY73" s="3">
        <f t="shared" si="53"/>
        <v>115669.79999999999</v>
      </c>
      <c r="AZ73" s="3">
        <f>77916.67+37753.13</f>
        <v>115669.79999999999</v>
      </c>
      <c r="BA73" s="3">
        <f>77916.67+37753.13</f>
        <v>115669.79999999999</v>
      </c>
      <c r="BB73" s="3">
        <f>77916.67+37753.13</f>
        <v>115669.79999999999</v>
      </c>
      <c r="BC73" s="3">
        <f>81250+33857.29</f>
        <v>115107.29000000001</v>
      </c>
      <c r="BD73" s="3">
        <f>SUM(AR73:BC73)</f>
        <v>1387475.0900000003</v>
      </c>
    </row>
    <row r="74" spans="1:56" ht="13.5" thickBot="1" x14ac:dyDescent="0.35">
      <c r="D74" s="13" t="s">
        <v>43</v>
      </c>
      <c r="E74" s="14">
        <f t="shared" ref="E74:P74" si="54">SUM(E71:E73)</f>
        <v>116558.12000000001</v>
      </c>
      <c r="F74" s="14">
        <f t="shared" si="54"/>
        <v>116308.12000000001</v>
      </c>
      <c r="G74" s="14">
        <f t="shared" si="54"/>
        <v>116308.12000000001</v>
      </c>
      <c r="H74" s="14">
        <f t="shared" si="54"/>
        <v>116308.12000000001</v>
      </c>
      <c r="I74" s="14">
        <f t="shared" si="54"/>
        <v>116308.12000000001</v>
      </c>
      <c r="J74" s="14">
        <f t="shared" si="54"/>
        <v>116308.12000000001</v>
      </c>
      <c r="K74" s="14">
        <f t="shared" si="54"/>
        <v>116308.12000000001</v>
      </c>
      <c r="L74" s="14">
        <f t="shared" si="54"/>
        <v>116308.12000000001</v>
      </c>
      <c r="M74" s="14">
        <f t="shared" si="54"/>
        <v>116243.54000000001</v>
      </c>
      <c r="N74" s="14">
        <f t="shared" si="54"/>
        <v>116243.54000000001</v>
      </c>
      <c r="O74" s="14">
        <f t="shared" si="54"/>
        <v>116243.54000000001</v>
      </c>
      <c r="P74" s="14">
        <f t="shared" si="54"/>
        <v>116460.20999999999</v>
      </c>
      <c r="Q74" s="14">
        <f>SUM(Q71:Q73)</f>
        <v>1395905.79</v>
      </c>
      <c r="R74" s="14">
        <f t="shared" ref="R74:AC74" si="55">SUM(R71:R73)</f>
        <v>116710.20999999999</v>
      </c>
      <c r="S74" s="14">
        <f t="shared" si="55"/>
        <v>116460.20999999999</v>
      </c>
      <c r="T74" s="14">
        <f t="shared" si="55"/>
        <v>116460.20999999999</v>
      </c>
      <c r="U74" s="14">
        <f t="shared" si="55"/>
        <v>116460.20999999999</v>
      </c>
      <c r="V74" s="14">
        <f t="shared" si="55"/>
        <v>116460.20999999999</v>
      </c>
      <c r="W74" s="14">
        <f t="shared" si="55"/>
        <v>116460.20999999999</v>
      </c>
      <c r="X74" s="14">
        <f t="shared" si="55"/>
        <v>116460.20999999999</v>
      </c>
      <c r="Y74" s="14">
        <f t="shared" si="55"/>
        <v>116460.20999999999</v>
      </c>
      <c r="Z74" s="14">
        <f t="shared" si="55"/>
        <v>116392.70999999999</v>
      </c>
      <c r="AA74" s="14">
        <f t="shared" si="55"/>
        <v>116392.70999999999</v>
      </c>
      <c r="AB74" s="14">
        <f t="shared" si="55"/>
        <v>116392.70999999999</v>
      </c>
      <c r="AC74" s="14">
        <f t="shared" si="55"/>
        <v>116621.88</v>
      </c>
      <c r="AD74" s="14">
        <f>SUM(AD71:AD73)</f>
        <v>1397731.69</v>
      </c>
      <c r="AE74" s="14">
        <f>SUM(AE71:AE73)</f>
        <v>116871.88</v>
      </c>
      <c r="AF74" s="14">
        <f>SUM(AF71:AF73)</f>
        <v>116621.88</v>
      </c>
      <c r="AG74" s="14">
        <f t="shared" ref="AG74:AP74" si="56">SUM(AG71:AG73)</f>
        <v>116621.88</v>
      </c>
      <c r="AH74" s="14">
        <f t="shared" si="56"/>
        <v>116621.88</v>
      </c>
      <c r="AI74" s="14">
        <f t="shared" si="56"/>
        <v>116621.88</v>
      </c>
      <c r="AJ74" s="14">
        <f t="shared" si="56"/>
        <v>116621.88</v>
      </c>
      <c r="AK74" s="14">
        <f t="shared" si="56"/>
        <v>116621.88</v>
      </c>
      <c r="AL74" s="14">
        <f t="shared" si="56"/>
        <v>116621.88</v>
      </c>
      <c r="AM74" s="14">
        <f t="shared" si="56"/>
        <v>116551.46</v>
      </c>
      <c r="AN74" s="14">
        <f t="shared" si="56"/>
        <v>116551.46</v>
      </c>
      <c r="AO74" s="14">
        <f t="shared" si="56"/>
        <v>116551.46</v>
      </c>
      <c r="AP74" s="14">
        <f t="shared" si="56"/>
        <v>116593.12999999999</v>
      </c>
      <c r="AQ74" s="22">
        <f>SUM(AQ71:AQ73)</f>
        <v>1399472.5500000003</v>
      </c>
      <c r="AR74" s="22">
        <f>SUM(AR71:AR73)</f>
        <v>116843.12999999999</v>
      </c>
      <c r="AS74" s="22">
        <f t="shared" ref="AS74:BD74" si="57">SUM(AS71:AS73)</f>
        <v>116593.12999999999</v>
      </c>
      <c r="AT74" s="22">
        <f t="shared" si="57"/>
        <v>116593.12999999999</v>
      </c>
      <c r="AU74" s="22">
        <f t="shared" si="57"/>
        <v>116593.12999999999</v>
      </c>
      <c r="AV74" s="22">
        <f t="shared" si="57"/>
        <v>116593.12999999999</v>
      </c>
      <c r="AW74" s="22">
        <f t="shared" si="57"/>
        <v>116593.12999999999</v>
      </c>
      <c r="AX74" s="22">
        <f t="shared" si="57"/>
        <v>116593.12999999999</v>
      </c>
      <c r="AY74" s="22">
        <f t="shared" si="57"/>
        <v>116593.12999999999</v>
      </c>
      <c r="AZ74" s="22">
        <f t="shared" si="57"/>
        <v>116518.96999999999</v>
      </c>
      <c r="BA74" s="22">
        <f t="shared" si="57"/>
        <v>116518.96999999999</v>
      </c>
      <c r="BB74" s="22">
        <f t="shared" si="57"/>
        <v>116518.96999999999</v>
      </c>
      <c r="BC74" s="22">
        <f t="shared" si="57"/>
        <v>115956.46</v>
      </c>
      <c r="BD74" s="22">
        <f t="shared" si="57"/>
        <v>1398508.4100000004</v>
      </c>
    </row>
    <row r="75" spans="1:56" x14ac:dyDescent="0.3">
      <c r="D75" s="15"/>
    </row>
    <row r="76" spans="1:56" ht="15.75" customHeight="1" x14ac:dyDescent="0.35">
      <c r="B76" s="20">
        <f>+B70+1</f>
        <v>9</v>
      </c>
      <c r="C76" s="24" t="s">
        <v>14</v>
      </c>
      <c r="D76" s="25" t="s">
        <v>44</v>
      </c>
    </row>
    <row r="77" spans="1:56" x14ac:dyDescent="0.3">
      <c r="D77" s="8" t="s">
        <v>8</v>
      </c>
      <c r="E77" s="26">
        <v>367.09</v>
      </c>
      <c r="F77" s="26">
        <v>367.09</v>
      </c>
      <c r="G77" s="26">
        <v>367.09</v>
      </c>
      <c r="H77" s="26">
        <v>367.09</v>
      </c>
      <c r="I77" s="26">
        <v>367.09</v>
      </c>
      <c r="J77" s="26">
        <v>367.09</v>
      </c>
      <c r="K77" s="26">
        <v>367.09</v>
      </c>
      <c r="L77" s="26">
        <v>344.04</v>
      </c>
      <c r="M77" s="26">
        <v>344.04</v>
      </c>
      <c r="N77" s="26">
        <v>344.04</v>
      </c>
      <c r="O77" s="26">
        <v>344.04</v>
      </c>
      <c r="P77" s="26">
        <v>344.04</v>
      </c>
      <c r="Q77" s="12">
        <f>SUM(E77:P77)</f>
        <v>4289.83</v>
      </c>
      <c r="R77" s="26">
        <v>344.04</v>
      </c>
      <c r="S77" s="26">
        <v>344.04</v>
      </c>
      <c r="T77" s="26">
        <v>344.04</v>
      </c>
      <c r="U77" s="26">
        <v>344.03</v>
      </c>
      <c r="V77" s="26">
        <v>344.03</v>
      </c>
      <c r="W77" s="26">
        <v>344.03</v>
      </c>
      <c r="X77" s="26">
        <v>344.03</v>
      </c>
      <c r="Y77" s="26">
        <v>320.22000000000003</v>
      </c>
      <c r="Z77" s="26">
        <v>320.22000000000003</v>
      </c>
      <c r="AA77" s="26">
        <v>320.22000000000003</v>
      </c>
      <c r="AB77" s="26">
        <v>320.22000000000003</v>
      </c>
      <c r="AC77" s="26">
        <v>320.22000000000003</v>
      </c>
      <c r="AD77" s="12">
        <f>SUM(R77:AC77)</f>
        <v>4009.3400000000011</v>
      </c>
      <c r="AE77" s="26">
        <v>320.22000000000003</v>
      </c>
      <c r="AF77" s="26">
        <v>320.22000000000003</v>
      </c>
      <c r="AG77" s="26">
        <v>320.22000000000003</v>
      </c>
      <c r="AH77" s="26">
        <v>320.22000000000003</v>
      </c>
      <c r="AI77" s="26">
        <v>320.22000000000003</v>
      </c>
      <c r="AJ77" s="26">
        <v>320.22000000000003</v>
      </c>
      <c r="AK77" s="26">
        <v>320.20999999999998</v>
      </c>
      <c r="AL77" s="12">
        <v>295.62</v>
      </c>
      <c r="AM77" s="12">
        <v>295.62</v>
      </c>
      <c r="AN77" s="12">
        <v>295.62</v>
      </c>
      <c r="AO77" s="12">
        <v>295.62</v>
      </c>
      <c r="AP77" s="12">
        <v>295.61</v>
      </c>
      <c r="AQ77" s="3">
        <f>SUM(AE77:AP77)</f>
        <v>3719.62</v>
      </c>
      <c r="AR77" s="3">
        <v>295.61</v>
      </c>
      <c r="AS77" s="31">
        <v>295.61</v>
      </c>
      <c r="AT77" s="31">
        <v>295.61</v>
      </c>
      <c r="AU77" s="31">
        <v>295.61</v>
      </c>
      <c r="AV77" s="31">
        <v>295.61</v>
      </c>
      <c r="AW77" s="31">
        <v>295.61</v>
      </c>
      <c r="AX77" s="31">
        <v>295.61</v>
      </c>
      <c r="AY77" s="31">
        <v>270.2</v>
      </c>
      <c r="AZ77" s="31">
        <v>270.2</v>
      </c>
      <c r="BA77" s="31">
        <v>270.2</v>
      </c>
      <c r="BB77" s="31">
        <v>270.19</v>
      </c>
      <c r="BC77" s="31">
        <v>270.19</v>
      </c>
      <c r="BD77" s="3">
        <f>SUM(AR77:BC77)</f>
        <v>3420.25</v>
      </c>
    </row>
    <row r="78" spans="1:56" x14ac:dyDescent="0.3">
      <c r="D78" s="8" t="s">
        <v>9</v>
      </c>
      <c r="E78" s="11">
        <v>250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>
        <f>SUM(E78:P78)</f>
        <v>250</v>
      </c>
      <c r="R78" s="11">
        <v>250</v>
      </c>
      <c r="AD78" s="12">
        <f>SUM(R78:AC78)</f>
        <v>250</v>
      </c>
      <c r="AE78" s="11">
        <v>250</v>
      </c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3">
        <f>SUM(AE78:AP78)</f>
        <v>250</v>
      </c>
      <c r="AR78" s="28">
        <v>250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3">
        <f>SUM(AR78:BC78)</f>
        <v>250</v>
      </c>
    </row>
    <row r="79" spans="1:56" ht="13.5" thickBot="1" x14ac:dyDescent="0.35">
      <c r="A79" t="s">
        <v>45</v>
      </c>
      <c r="D79" s="8" t="s">
        <v>10</v>
      </c>
      <c r="E79" s="11">
        <f>23054.61+11783.63</f>
        <v>34838.239999999998</v>
      </c>
      <c r="F79" s="11">
        <f>23054.61+11783.64</f>
        <v>34838.25</v>
      </c>
      <c r="G79" s="11">
        <f>23054.61+11783.64</f>
        <v>34838.25</v>
      </c>
      <c r="H79" s="11">
        <f>23054.61+11783.63</f>
        <v>34838.239999999998</v>
      </c>
      <c r="I79" s="11">
        <f>23054.61+11783.63</f>
        <v>34838.239999999998</v>
      </c>
      <c r="J79" s="11">
        <f>23054.6+11783.63</f>
        <v>34838.229999999996</v>
      </c>
      <c r="K79" s="11">
        <f>23054.6+11783.63</f>
        <v>34838.229999999996</v>
      </c>
      <c r="L79" s="11">
        <f>23817.72+11043.58</f>
        <v>34861.300000000003</v>
      </c>
      <c r="M79" s="11">
        <f>23817.72+11043.58</f>
        <v>34861.300000000003</v>
      </c>
      <c r="N79" s="11">
        <f>23817.72+11043.58</f>
        <v>34861.300000000003</v>
      </c>
      <c r="O79" s="11">
        <f>23817.72+11043.58</f>
        <v>34861.300000000003</v>
      </c>
      <c r="P79" s="11">
        <f>23817.72+11043.58</f>
        <v>34861.300000000003</v>
      </c>
      <c r="Q79" s="12">
        <f>SUM(E79:P79)</f>
        <v>418174.17999999988</v>
      </c>
      <c r="R79" s="11">
        <f>23817.72+11043.58</f>
        <v>34861.300000000003</v>
      </c>
      <c r="S79" s="11">
        <f>23817.72+11043.58</f>
        <v>34861.300000000003</v>
      </c>
      <c r="T79" s="11">
        <f>23817.71+11043.58</f>
        <v>34861.29</v>
      </c>
      <c r="U79" s="11">
        <f>23817.71+11043.58</f>
        <v>34861.29</v>
      </c>
      <c r="V79" s="11">
        <f>23817.71+11043.58</f>
        <v>34861.29</v>
      </c>
      <c r="W79" s="11">
        <f>23817.71+11043.58</f>
        <v>34861.29</v>
      </c>
      <c r="X79" s="11">
        <f>23817.71+11043.58</f>
        <v>34861.29</v>
      </c>
      <c r="Y79" s="11">
        <f>24606.09+10279.04</f>
        <v>34885.130000000005</v>
      </c>
      <c r="Z79" s="11">
        <f>24606.09+10279.03</f>
        <v>34885.120000000003</v>
      </c>
      <c r="AA79" s="11">
        <f>24606.09+10279.03</f>
        <v>34885.120000000003</v>
      </c>
      <c r="AB79" s="11">
        <f>24606.08+10279.03</f>
        <v>34885.11</v>
      </c>
      <c r="AC79" s="11">
        <f>24606.08+10279.03</f>
        <v>34885.11</v>
      </c>
      <c r="AD79" s="12">
        <f>SUM(R79:AC79)</f>
        <v>418454.64</v>
      </c>
      <c r="AE79" s="11">
        <f t="shared" ref="AE79:AK79" si="58">24606.08+10279.03</f>
        <v>34885.11</v>
      </c>
      <c r="AF79" s="11">
        <f>24606.08+10279.04</f>
        <v>34885.120000000003</v>
      </c>
      <c r="AG79" s="11">
        <f t="shared" si="58"/>
        <v>34885.11</v>
      </c>
      <c r="AH79" s="11">
        <f t="shared" si="58"/>
        <v>34885.11</v>
      </c>
      <c r="AI79" s="11">
        <f t="shared" si="58"/>
        <v>34885.11</v>
      </c>
      <c r="AJ79" s="11">
        <f t="shared" si="58"/>
        <v>34885.11</v>
      </c>
      <c r="AK79" s="11">
        <f t="shared" si="58"/>
        <v>34885.11</v>
      </c>
      <c r="AL79" s="12">
        <f>25420.55+9489.18</f>
        <v>34909.729999999996</v>
      </c>
      <c r="AM79" s="12">
        <f>25420.55+9489.18</f>
        <v>34909.729999999996</v>
      </c>
      <c r="AN79" s="12">
        <f>25420.55+9489.18</f>
        <v>34909.729999999996</v>
      </c>
      <c r="AO79" s="12">
        <f>25420.55+9489.18</f>
        <v>34909.729999999996</v>
      </c>
      <c r="AP79" s="12">
        <f>25420.55+9489.17</f>
        <v>34909.72</v>
      </c>
      <c r="AQ79" s="3">
        <f>SUM(AE79:AP79)</f>
        <v>418744.41999999993</v>
      </c>
      <c r="AR79" s="28">
        <f>25420.54+9489.17</f>
        <v>34909.71</v>
      </c>
      <c r="AS79" s="28">
        <f>25420.54+9489.18</f>
        <v>34909.72</v>
      </c>
      <c r="AT79" s="28">
        <f>25420.54+9489.18</f>
        <v>34909.72</v>
      </c>
      <c r="AU79" s="28">
        <f>25420.54+9489.18</f>
        <v>34909.72</v>
      </c>
      <c r="AV79" s="28">
        <f>25420.54+9489.18</f>
        <v>34909.72</v>
      </c>
      <c r="AW79" s="28">
        <f>25420.54+9489.17</f>
        <v>34909.71</v>
      </c>
      <c r="AX79" s="28">
        <f>25420.54+9489.17</f>
        <v>34909.71</v>
      </c>
      <c r="AY79" s="3">
        <f>26261.97+8673.18</f>
        <v>34935.15</v>
      </c>
      <c r="AZ79" s="3">
        <f>26261.97+8673.18</f>
        <v>34935.15</v>
      </c>
      <c r="BA79" s="3">
        <f>26261.97+8673.18</f>
        <v>34935.15</v>
      </c>
      <c r="BB79" s="3">
        <f>26261.97+8673.18</f>
        <v>34935.15</v>
      </c>
      <c r="BC79" s="3">
        <f>26261.97+8673.17</f>
        <v>34935.14</v>
      </c>
      <c r="BD79" s="3">
        <f>SUM(AR79:BC79)</f>
        <v>419043.75000000006</v>
      </c>
    </row>
    <row r="80" spans="1:56" ht="13.5" thickBot="1" x14ac:dyDescent="0.35">
      <c r="D80" s="13" t="s">
        <v>46</v>
      </c>
      <c r="E80" s="14">
        <f t="shared" ref="E80:P80" si="59">SUM(E77:E79)</f>
        <v>35455.329999999994</v>
      </c>
      <c r="F80" s="14">
        <f t="shared" si="59"/>
        <v>35205.339999999997</v>
      </c>
      <c r="G80" s="14">
        <f t="shared" si="59"/>
        <v>35205.339999999997</v>
      </c>
      <c r="H80" s="14">
        <f t="shared" si="59"/>
        <v>35205.329999999994</v>
      </c>
      <c r="I80" s="14">
        <f t="shared" si="59"/>
        <v>35205.329999999994</v>
      </c>
      <c r="J80" s="14">
        <f t="shared" si="59"/>
        <v>35205.319999999992</v>
      </c>
      <c r="K80" s="14">
        <f t="shared" si="59"/>
        <v>35205.319999999992</v>
      </c>
      <c r="L80" s="14">
        <f t="shared" si="59"/>
        <v>35205.340000000004</v>
      </c>
      <c r="M80" s="14">
        <f t="shared" si="59"/>
        <v>35205.340000000004</v>
      </c>
      <c r="N80" s="14">
        <f t="shared" si="59"/>
        <v>35205.340000000004</v>
      </c>
      <c r="O80" s="14">
        <f t="shared" si="59"/>
        <v>35205.340000000004</v>
      </c>
      <c r="P80" s="14">
        <f t="shared" si="59"/>
        <v>35205.340000000004</v>
      </c>
      <c r="Q80" s="14">
        <f>SUM(Q77:Q79)</f>
        <v>422714.00999999989</v>
      </c>
      <c r="R80" s="14">
        <f t="shared" ref="R80:AC80" si="60">SUM(R77:R79)</f>
        <v>35455.340000000004</v>
      </c>
      <c r="S80" s="14">
        <f t="shared" si="60"/>
        <v>35205.340000000004</v>
      </c>
      <c r="T80" s="14">
        <f t="shared" si="60"/>
        <v>35205.33</v>
      </c>
      <c r="U80" s="14">
        <f t="shared" si="60"/>
        <v>35205.32</v>
      </c>
      <c r="V80" s="14">
        <f t="shared" si="60"/>
        <v>35205.32</v>
      </c>
      <c r="W80" s="14">
        <f t="shared" si="60"/>
        <v>35205.32</v>
      </c>
      <c r="X80" s="14">
        <f t="shared" si="60"/>
        <v>35205.32</v>
      </c>
      <c r="Y80" s="14">
        <f t="shared" si="60"/>
        <v>35205.350000000006</v>
      </c>
      <c r="Z80" s="14">
        <f t="shared" si="60"/>
        <v>35205.340000000004</v>
      </c>
      <c r="AA80" s="14">
        <f t="shared" si="60"/>
        <v>35205.340000000004</v>
      </c>
      <c r="AB80" s="14">
        <f t="shared" si="60"/>
        <v>35205.33</v>
      </c>
      <c r="AC80" s="14">
        <f t="shared" si="60"/>
        <v>35205.33</v>
      </c>
      <c r="AD80" s="14">
        <f>SUM(AD77:AD79)</f>
        <v>422713.98000000004</v>
      </c>
      <c r="AE80" s="14">
        <f>SUM(AE77:AE79)</f>
        <v>35455.33</v>
      </c>
      <c r="AF80" s="14">
        <f>SUM(AF77:AF79)</f>
        <v>35205.340000000004</v>
      </c>
      <c r="AG80" s="14">
        <f t="shared" ref="AG80:AP80" si="61">SUM(AG77:AG79)</f>
        <v>35205.33</v>
      </c>
      <c r="AH80" s="14">
        <f t="shared" si="61"/>
        <v>35205.33</v>
      </c>
      <c r="AI80" s="14">
        <f t="shared" si="61"/>
        <v>35205.33</v>
      </c>
      <c r="AJ80" s="14">
        <f t="shared" si="61"/>
        <v>35205.33</v>
      </c>
      <c r="AK80" s="14">
        <f t="shared" si="61"/>
        <v>35205.32</v>
      </c>
      <c r="AL80" s="14">
        <f t="shared" si="61"/>
        <v>35205.35</v>
      </c>
      <c r="AM80" s="14">
        <f t="shared" si="61"/>
        <v>35205.35</v>
      </c>
      <c r="AN80" s="14">
        <f t="shared" si="61"/>
        <v>35205.35</v>
      </c>
      <c r="AO80" s="14">
        <f t="shared" si="61"/>
        <v>35205.35</v>
      </c>
      <c r="AP80" s="14">
        <f t="shared" si="61"/>
        <v>35205.33</v>
      </c>
      <c r="AQ80" s="22">
        <f>SUM(AQ77:AQ79)</f>
        <v>422714.03999999992</v>
      </c>
      <c r="AR80" s="22">
        <f t="shared" ref="AR80:BD80" si="62">SUM(AR77:AR79)</f>
        <v>35455.32</v>
      </c>
      <c r="AS80" s="22">
        <f t="shared" si="62"/>
        <v>35205.33</v>
      </c>
      <c r="AT80" s="22">
        <f t="shared" si="62"/>
        <v>35205.33</v>
      </c>
      <c r="AU80" s="22">
        <f t="shared" si="62"/>
        <v>35205.33</v>
      </c>
      <c r="AV80" s="22">
        <f t="shared" si="62"/>
        <v>35205.33</v>
      </c>
      <c r="AW80" s="22">
        <f t="shared" si="62"/>
        <v>35205.32</v>
      </c>
      <c r="AX80" s="22">
        <f t="shared" si="62"/>
        <v>35205.32</v>
      </c>
      <c r="AY80" s="22">
        <f t="shared" si="62"/>
        <v>35205.35</v>
      </c>
      <c r="AZ80" s="22">
        <f t="shared" si="62"/>
        <v>35205.35</v>
      </c>
      <c r="BA80" s="22">
        <f t="shared" si="62"/>
        <v>35205.35</v>
      </c>
      <c r="BB80" s="22">
        <f t="shared" si="62"/>
        <v>35205.340000000004</v>
      </c>
      <c r="BC80" s="22">
        <f t="shared" si="62"/>
        <v>35205.33</v>
      </c>
      <c r="BD80" s="22">
        <f t="shared" si="62"/>
        <v>422714.00000000006</v>
      </c>
    </row>
    <row r="81" spans="1:56" x14ac:dyDescent="0.3">
      <c r="D81" s="15"/>
    </row>
    <row r="82" spans="1:56" ht="15.75" customHeight="1" x14ac:dyDescent="0.35">
      <c r="B82" s="20">
        <f>+B76+1</f>
        <v>10</v>
      </c>
      <c r="C82" s="24" t="s">
        <v>14</v>
      </c>
      <c r="D82" s="25" t="s">
        <v>47</v>
      </c>
    </row>
    <row r="83" spans="1:56" x14ac:dyDescent="0.3">
      <c r="D83" s="8" t="s">
        <v>8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f>SUM(E83:P83)</f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f>SUM(R83:AC83)</f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3">
        <f>SUM(AE83:AP83)</f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f>SUM(AR83:BC83)</f>
        <v>0</v>
      </c>
    </row>
    <row r="84" spans="1:56" x14ac:dyDescent="0.3">
      <c r="D84" s="8" t="s">
        <v>9</v>
      </c>
      <c r="E84" s="11">
        <v>250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2">
        <f>SUM(E84:P84)</f>
        <v>250</v>
      </c>
      <c r="R84" s="11">
        <v>250</v>
      </c>
      <c r="AD84" s="12">
        <f>SUM(R84:AC84)</f>
        <v>250</v>
      </c>
      <c r="AE84" s="11">
        <v>250</v>
      </c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3">
        <f>SUM(AE84:AP84)</f>
        <v>250</v>
      </c>
      <c r="AR84" s="3">
        <v>250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f>SUM(AR84:BC84)</f>
        <v>250</v>
      </c>
    </row>
    <row r="85" spans="1:56" ht="13.5" thickBot="1" x14ac:dyDescent="0.35">
      <c r="A85" t="s">
        <v>48</v>
      </c>
      <c r="D85" s="8" t="s">
        <v>10</v>
      </c>
      <c r="E85" s="11">
        <v>103134.79</v>
      </c>
      <c r="F85" s="11">
        <v>103134.79</v>
      </c>
      <c r="G85" s="11">
        <v>103134.79</v>
      </c>
      <c r="H85" s="11">
        <v>103134.79</v>
      </c>
      <c r="I85" s="11">
        <v>103134.79</v>
      </c>
      <c r="J85" s="11">
        <v>103134.79</v>
      </c>
      <c r="K85" s="11">
        <v>103134.79</v>
      </c>
      <c r="L85" s="11">
        <v>103134.79</v>
      </c>
      <c r="M85" s="11">
        <v>103134.79</v>
      </c>
      <c r="N85" s="11">
        <v>103134.79</v>
      </c>
      <c r="O85" s="11">
        <v>103134.79</v>
      </c>
      <c r="P85" s="11">
        <v>103134.79</v>
      </c>
      <c r="Q85" s="12">
        <f>SUM(E85:P85)</f>
        <v>1237617.4800000002</v>
      </c>
      <c r="R85" s="11">
        <f>7083.33+96001.46</f>
        <v>103084.79000000001</v>
      </c>
      <c r="S85" s="11">
        <f t="shared" ref="S85:AC85" si="63">7083.33+96001.46</f>
        <v>103084.79000000001</v>
      </c>
      <c r="T85" s="11">
        <f t="shared" si="63"/>
        <v>103084.79000000001</v>
      </c>
      <c r="U85" s="11">
        <f t="shared" si="63"/>
        <v>103084.79000000001</v>
      </c>
      <c r="V85" s="11">
        <f t="shared" si="63"/>
        <v>103084.79000000001</v>
      </c>
      <c r="W85" s="11">
        <f t="shared" si="63"/>
        <v>103084.79000000001</v>
      </c>
      <c r="X85" s="11">
        <f t="shared" si="63"/>
        <v>103084.79000000001</v>
      </c>
      <c r="Y85" s="11">
        <f t="shared" si="63"/>
        <v>103084.79000000001</v>
      </c>
      <c r="Z85" s="11">
        <f t="shared" si="63"/>
        <v>103084.79000000001</v>
      </c>
      <c r="AA85" s="11">
        <f t="shared" si="63"/>
        <v>103084.79000000001</v>
      </c>
      <c r="AB85" s="11">
        <f t="shared" si="63"/>
        <v>103084.79000000001</v>
      </c>
      <c r="AC85" s="11">
        <f t="shared" si="63"/>
        <v>103084.79000000001</v>
      </c>
      <c r="AD85" s="12">
        <f>SUM(R85:AC85)</f>
        <v>1237017.4800000002</v>
      </c>
      <c r="AE85" s="12">
        <f>7916.67+95505.63</f>
        <v>103422.3</v>
      </c>
      <c r="AF85" s="12">
        <f t="shared" ref="AF85:AP85" si="64">7916.67+95505.63</f>
        <v>103422.3</v>
      </c>
      <c r="AG85" s="12">
        <f t="shared" si="64"/>
        <v>103422.3</v>
      </c>
      <c r="AH85" s="12">
        <f t="shared" si="64"/>
        <v>103422.3</v>
      </c>
      <c r="AI85" s="12">
        <f t="shared" si="64"/>
        <v>103422.3</v>
      </c>
      <c r="AJ85" s="12">
        <f t="shared" si="64"/>
        <v>103422.3</v>
      </c>
      <c r="AK85" s="12">
        <f t="shared" si="64"/>
        <v>103422.3</v>
      </c>
      <c r="AL85" s="12">
        <f t="shared" si="64"/>
        <v>103422.3</v>
      </c>
      <c r="AM85" s="12">
        <f t="shared" si="64"/>
        <v>103422.3</v>
      </c>
      <c r="AN85" s="12">
        <f t="shared" si="64"/>
        <v>103422.3</v>
      </c>
      <c r="AO85" s="12">
        <f t="shared" si="64"/>
        <v>103422.3</v>
      </c>
      <c r="AP85" s="12">
        <f t="shared" si="64"/>
        <v>103422.3</v>
      </c>
      <c r="AQ85" s="3">
        <f>SUM(AE85:AP85)</f>
        <v>1241067.6000000003</v>
      </c>
      <c r="AR85" s="3">
        <f>8333.33+94951.46</f>
        <v>103284.79000000001</v>
      </c>
      <c r="AS85" s="3">
        <f t="shared" ref="AS85:BC85" si="65">8333.33+94951.46</f>
        <v>103284.79000000001</v>
      </c>
      <c r="AT85" s="3">
        <f t="shared" si="65"/>
        <v>103284.79000000001</v>
      </c>
      <c r="AU85" s="3">
        <f t="shared" si="65"/>
        <v>103284.79000000001</v>
      </c>
      <c r="AV85" s="3">
        <f t="shared" si="65"/>
        <v>103284.79000000001</v>
      </c>
      <c r="AW85" s="3">
        <f t="shared" si="65"/>
        <v>103284.79000000001</v>
      </c>
      <c r="AX85" s="3">
        <f t="shared" si="65"/>
        <v>103284.79000000001</v>
      </c>
      <c r="AY85" s="3">
        <f t="shared" si="65"/>
        <v>103284.79000000001</v>
      </c>
      <c r="AZ85" s="3">
        <f t="shared" si="65"/>
        <v>103284.79000000001</v>
      </c>
      <c r="BA85" s="3">
        <f t="shared" si="65"/>
        <v>103284.79000000001</v>
      </c>
      <c r="BB85" s="3">
        <f t="shared" si="65"/>
        <v>103284.79000000001</v>
      </c>
      <c r="BC85" s="3">
        <f t="shared" si="65"/>
        <v>103284.79000000001</v>
      </c>
      <c r="BD85" s="3">
        <f>SUM(AR85:BC85)</f>
        <v>1239417.4800000002</v>
      </c>
    </row>
    <row r="86" spans="1:56" ht="13.5" thickBot="1" x14ac:dyDescent="0.35">
      <c r="D86" s="13" t="s">
        <v>20</v>
      </c>
      <c r="E86" s="14">
        <f t="shared" ref="E86:P86" si="66">SUM(E83:E85)</f>
        <v>103384.79</v>
      </c>
      <c r="F86" s="14">
        <f t="shared" si="66"/>
        <v>103134.79</v>
      </c>
      <c r="G86" s="14">
        <f t="shared" si="66"/>
        <v>103134.79</v>
      </c>
      <c r="H86" s="14">
        <f t="shared" si="66"/>
        <v>103134.79</v>
      </c>
      <c r="I86" s="14">
        <f t="shared" si="66"/>
        <v>103134.79</v>
      </c>
      <c r="J86" s="14">
        <f t="shared" si="66"/>
        <v>103134.79</v>
      </c>
      <c r="K86" s="14">
        <f t="shared" si="66"/>
        <v>103134.79</v>
      </c>
      <c r="L86" s="14">
        <f t="shared" si="66"/>
        <v>103134.79</v>
      </c>
      <c r="M86" s="14">
        <f t="shared" si="66"/>
        <v>103134.79</v>
      </c>
      <c r="N86" s="14">
        <f t="shared" si="66"/>
        <v>103134.79</v>
      </c>
      <c r="O86" s="14">
        <f t="shared" si="66"/>
        <v>103134.79</v>
      </c>
      <c r="P86" s="14">
        <f t="shared" si="66"/>
        <v>103134.79</v>
      </c>
      <c r="Q86" s="14">
        <f>SUM(Q83:Q85)</f>
        <v>1237867.4800000002</v>
      </c>
      <c r="R86" s="14">
        <f t="shared" ref="R86:AC86" si="67">SUM(R83:R85)</f>
        <v>103334.79000000001</v>
      </c>
      <c r="S86" s="14">
        <f t="shared" si="67"/>
        <v>103084.79000000001</v>
      </c>
      <c r="T86" s="14">
        <f t="shared" si="67"/>
        <v>103084.79000000001</v>
      </c>
      <c r="U86" s="14">
        <f t="shared" si="67"/>
        <v>103084.79000000001</v>
      </c>
      <c r="V86" s="14">
        <f t="shared" si="67"/>
        <v>103084.79000000001</v>
      </c>
      <c r="W86" s="14">
        <f t="shared" si="67"/>
        <v>103084.79000000001</v>
      </c>
      <c r="X86" s="14">
        <f t="shared" si="67"/>
        <v>103084.79000000001</v>
      </c>
      <c r="Y86" s="14">
        <f t="shared" si="67"/>
        <v>103084.79000000001</v>
      </c>
      <c r="Z86" s="14">
        <f t="shared" si="67"/>
        <v>103084.79000000001</v>
      </c>
      <c r="AA86" s="14">
        <f t="shared" si="67"/>
        <v>103084.79000000001</v>
      </c>
      <c r="AB86" s="14">
        <f t="shared" si="67"/>
        <v>103084.79000000001</v>
      </c>
      <c r="AC86" s="14">
        <f t="shared" si="67"/>
        <v>103084.79000000001</v>
      </c>
      <c r="AD86" s="14">
        <f>SUM(AD83:AD85)</f>
        <v>1237267.4800000002</v>
      </c>
      <c r="AE86" s="14">
        <f>SUM(AE83:AE85)</f>
        <v>103672.3</v>
      </c>
      <c r="AF86" s="14">
        <f>SUM(AF83:AF85)</f>
        <v>103422.3</v>
      </c>
      <c r="AG86" s="14">
        <f t="shared" ref="AG86:AP86" si="68">SUM(AG83:AG85)</f>
        <v>103422.3</v>
      </c>
      <c r="AH86" s="14">
        <f t="shared" si="68"/>
        <v>103422.3</v>
      </c>
      <c r="AI86" s="14">
        <f t="shared" si="68"/>
        <v>103422.3</v>
      </c>
      <c r="AJ86" s="14">
        <f t="shared" si="68"/>
        <v>103422.3</v>
      </c>
      <c r="AK86" s="14">
        <f t="shared" si="68"/>
        <v>103422.3</v>
      </c>
      <c r="AL86" s="14">
        <f t="shared" si="68"/>
        <v>103422.3</v>
      </c>
      <c r="AM86" s="14">
        <f t="shared" si="68"/>
        <v>103422.3</v>
      </c>
      <c r="AN86" s="14">
        <f t="shared" si="68"/>
        <v>103422.3</v>
      </c>
      <c r="AO86" s="14">
        <f t="shared" si="68"/>
        <v>103422.3</v>
      </c>
      <c r="AP86" s="14">
        <f t="shared" si="68"/>
        <v>103422.3</v>
      </c>
      <c r="AQ86" s="22">
        <f>SUM(AQ83:AQ85)</f>
        <v>1241317.6000000003</v>
      </c>
      <c r="AR86" s="22">
        <f t="shared" ref="AR86:BD86" si="69">SUM(AR83:AR85)</f>
        <v>103534.79000000001</v>
      </c>
      <c r="AS86" s="22">
        <f t="shared" si="69"/>
        <v>103284.79000000001</v>
      </c>
      <c r="AT86" s="22">
        <f t="shared" si="69"/>
        <v>103284.79000000001</v>
      </c>
      <c r="AU86" s="22">
        <f t="shared" si="69"/>
        <v>103284.79000000001</v>
      </c>
      <c r="AV86" s="22">
        <f t="shared" si="69"/>
        <v>103284.79000000001</v>
      </c>
      <c r="AW86" s="22">
        <f t="shared" si="69"/>
        <v>103284.79000000001</v>
      </c>
      <c r="AX86" s="22">
        <f t="shared" si="69"/>
        <v>103284.79000000001</v>
      </c>
      <c r="AY86" s="22">
        <f t="shared" si="69"/>
        <v>103284.79000000001</v>
      </c>
      <c r="AZ86" s="22">
        <f t="shared" si="69"/>
        <v>103284.79000000001</v>
      </c>
      <c r="BA86" s="22">
        <f t="shared" si="69"/>
        <v>103284.79000000001</v>
      </c>
      <c r="BB86" s="22">
        <f t="shared" si="69"/>
        <v>103284.79000000001</v>
      </c>
      <c r="BC86" s="22">
        <f t="shared" si="69"/>
        <v>103284.79000000001</v>
      </c>
      <c r="BD86" s="22">
        <f t="shared" si="69"/>
        <v>1239667.4800000002</v>
      </c>
    </row>
    <row r="87" spans="1:56" ht="13.5" customHeight="1" x14ac:dyDescent="0.3">
      <c r="D87" s="15"/>
    </row>
    <row r="88" spans="1:56" ht="15.5" x14ac:dyDescent="0.35">
      <c r="B88" s="20"/>
      <c r="C88" s="24" t="s">
        <v>14</v>
      </c>
      <c r="D88" s="10" t="s">
        <v>49</v>
      </c>
    </row>
    <row r="89" spans="1:56" x14ac:dyDescent="0.3">
      <c r="D89" s="8" t="s">
        <v>8</v>
      </c>
      <c r="E89" s="26">
        <v>1093.33</v>
      </c>
      <c r="F89" s="26">
        <v>1093.33</v>
      </c>
      <c r="G89" s="26">
        <v>1093.33</v>
      </c>
      <c r="H89" s="26">
        <v>1093.33</v>
      </c>
      <c r="I89" s="26">
        <v>1093.33</v>
      </c>
      <c r="J89" s="26">
        <v>1093.33</v>
      </c>
      <c r="K89" s="26">
        <v>1093.33</v>
      </c>
      <c r="L89" s="26">
        <v>1093.33</v>
      </c>
      <c r="M89" s="26">
        <v>1065.42</v>
      </c>
      <c r="N89" s="26">
        <v>1065.42</v>
      </c>
      <c r="O89" s="26">
        <v>1065.42</v>
      </c>
      <c r="P89" s="26">
        <v>1065.42</v>
      </c>
      <c r="Q89" s="12">
        <f>SUM(E89:P89)</f>
        <v>13008.32</v>
      </c>
      <c r="R89" s="26">
        <v>1065.42</v>
      </c>
      <c r="S89" s="26">
        <v>1065.42</v>
      </c>
      <c r="T89" s="26">
        <v>1065.42</v>
      </c>
      <c r="U89" s="26">
        <v>1065.42</v>
      </c>
      <c r="V89" s="26">
        <v>1065.42</v>
      </c>
      <c r="W89" s="26">
        <v>1065.42</v>
      </c>
      <c r="X89" s="26">
        <v>1065.42</v>
      </c>
      <c r="Y89" s="26">
        <v>1065.42</v>
      </c>
      <c r="Z89" s="26">
        <v>1036.67</v>
      </c>
      <c r="AA89" s="26">
        <v>1036.67</v>
      </c>
      <c r="AB89" s="26">
        <v>1036.67</v>
      </c>
      <c r="AC89" s="26">
        <v>1036.67</v>
      </c>
      <c r="AD89" s="12">
        <f>SUM(R89:AC89)</f>
        <v>12670.04</v>
      </c>
      <c r="AE89" s="26">
        <v>1036.67</v>
      </c>
      <c r="AF89" s="26">
        <v>1036.67</v>
      </c>
      <c r="AG89" s="26">
        <v>1036.67</v>
      </c>
      <c r="AH89" s="26">
        <v>1036.67</v>
      </c>
      <c r="AI89" s="26">
        <v>1036.67</v>
      </c>
      <c r="AJ89" s="26">
        <v>1036.67</v>
      </c>
      <c r="AK89" s="26">
        <v>1036.67</v>
      </c>
      <c r="AL89" s="26">
        <v>1036.67</v>
      </c>
      <c r="AM89" s="12">
        <v>0</v>
      </c>
      <c r="AN89" s="12">
        <v>1006.67</v>
      </c>
      <c r="AO89" s="12">
        <v>1006.67</v>
      </c>
      <c r="AP89" s="12">
        <v>1006.67</v>
      </c>
      <c r="AQ89" s="3">
        <f>SUM(AE89:AP89)</f>
        <v>11313.37</v>
      </c>
      <c r="AR89" s="3">
        <v>1006.67</v>
      </c>
      <c r="AS89" s="3">
        <v>1006.67</v>
      </c>
      <c r="AT89" s="3">
        <v>1006.67</v>
      </c>
      <c r="AU89" s="3">
        <v>1006.67</v>
      </c>
      <c r="AV89" s="3">
        <v>1006.67</v>
      </c>
      <c r="AW89" s="60">
        <f>1006.67+724.13-1730.8</f>
        <v>0</v>
      </c>
      <c r="BD89" s="3">
        <f>SUM(AR89:BC89)</f>
        <v>5033.3499999999995</v>
      </c>
    </row>
    <row r="90" spans="1:56" x14ac:dyDescent="0.3">
      <c r="D90" s="8" t="s">
        <v>9</v>
      </c>
      <c r="E90" s="26">
        <v>250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12">
        <f>SUM(E90:P90)</f>
        <v>250</v>
      </c>
      <c r="R90" s="26">
        <v>250</v>
      </c>
      <c r="AD90" s="12">
        <f>SUM(R90:AC90)</f>
        <v>250</v>
      </c>
      <c r="AE90" s="26">
        <v>250</v>
      </c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3">
        <f>SUM(AE90:AP90)</f>
        <v>250</v>
      </c>
      <c r="AR90" s="3">
        <v>250</v>
      </c>
      <c r="AS90" s="3">
        <v>0</v>
      </c>
      <c r="AT90" s="3">
        <v>0</v>
      </c>
      <c r="AU90" s="3">
        <v>0</v>
      </c>
      <c r="AV90" s="3">
        <v>0</v>
      </c>
      <c r="AW90" s="60">
        <v>0</v>
      </c>
      <c r="BD90" s="3">
        <f>SUM(AR90:BC90)</f>
        <v>250</v>
      </c>
    </row>
    <row r="91" spans="1:56" ht="13.5" thickBot="1" x14ac:dyDescent="0.35">
      <c r="A91" t="s">
        <v>50</v>
      </c>
      <c r="D91" s="8" t="s">
        <v>10</v>
      </c>
      <c r="E91" s="26">
        <f>30416.67+58952.61</f>
        <v>89369.279999999999</v>
      </c>
      <c r="F91" s="26">
        <f>30416.67+58952.61</f>
        <v>89369.279999999999</v>
      </c>
      <c r="G91" s="26">
        <f>30416.67+58952.61</f>
        <v>89369.279999999999</v>
      </c>
      <c r="H91" s="26">
        <f>30416.67+58952.61</f>
        <v>89369.279999999999</v>
      </c>
      <c r="I91" s="26">
        <f>30416.67+58952.61</f>
        <v>89369.279999999999</v>
      </c>
      <c r="J91" s="26">
        <f>30416.63+58952.58</f>
        <v>89369.21</v>
      </c>
      <c r="K91" s="26">
        <f>31666.67+57939.58</f>
        <v>89606.25</v>
      </c>
      <c r="L91" s="26">
        <f>31666.67+57939.58</f>
        <v>89606.25</v>
      </c>
      <c r="M91" s="26">
        <f>31666.67+57939.58</f>
        <v>89606.25</v>
      </c>
      <c r="N91" s="26">
        <f>31666.67+57939.58</f>
        <v>89606.25</v>
      </c>
      <c r="O91" s="26">
        <f>31666.67+57939.58</f>
        <v>89606.25</v>
      </c>
      <c r="P91" s="26">
        <f>31666.67+57939.6</f>
        <v>89606.26999999999</v>
      </c>
      <c r="Q91" s="12">
        <f>SUM(E91:P91)</f>
        <v>1073853.1299999999</v>
      </c>
      <c r="R91" s="26">
        <f>31666.67+57939.58</f>
        <v>89606.25</v>
      </c>
      <c r="S91" s="26">
        <f>31666.67+57939.58</f>
        <v>89606.25</v>
      </c>
      <c r="T91" s="26">
        <f>31666.67+57939.58</f>
        <v>89606.25</v>
      </c>
      <c r="U91" s="26">
        <f>31666.67+57939.58</f>
        <v>89606.25</v>
      </c>
      <c r="V91" s="26">
        <f>31666.67+57939.58</f>
        <v>89606.25</v>
      </c>
      <c r="W91" s="26">
        <f>31666.63+57939.6</f>
        <v>89606.23</v>
      </c>
      <c r="X91" s="26">
        <f>32916.67+56841.15</f>
        <v>89757.82</v>
      </c>
      <c r="Y91" s="26">
        <f>32916.67+56841.15</f>
        <v>89757.82</v>
      </c>
      <c r="Z91" s="26">
        <f>32916.67+56841.15</f>
        <v>89757.82</v>
      </c>
      <c r="AA91" s="26">
        <f>32916.67+56841.15</f>
        <v>89757.82</v>
      </c>
      <c r="AB91" s="26">
        <f>32916.67+56841.15</f>
        <v>89757.82</v>
      </c>
      <c r="AC91" s="26">
        <f>32916.67+56841.13</f>
        <v>89757.799999999988</v>
      </c>
      <c r="AD91" s="12">
        <f>SUM(R91:AC91)</f>
        <v>1076184.3800000004</v>
      </c>
      <c r="AE91" s="26">
        <f>32916.67+56841.15</f>
        <v>89757.82</v>
      </c>
      <c r="AF91" s="26">
        <f>32916.67+56841.15</f>
        <v>89757.82</v>
      </c>
      <c r="AG91" s="26">
        <f>32916.67+56841.15</f>
        <v>89757.82</v>
      </c>
      <c r="AH91" s="26">
        <f>32916.67+56841.15</f>
        <v>89757.82</v>
      </c>
      <c r="AI91" s="26">
        <f>32916.67+56841.15</f>
        <v>89757.82</v>
      </c>
      <c r="AJ91" s="26">
        <f>32916.63+56841.13</f>
        <v>89757.759999999995</v>
      </c>
      <c r="AK91" s="12">
        <f>34166.67+55627.08</f>
        <v>89793.75</v>
      </c>
      <c r="AL91" s="12">
        <f>34166.67+55627.08</f>
        <v>89793.75</v>
      </c>
      <c r="AM91" s="12">
        <f>34166.67+55627.08</f>
        <v>89793.75</v>
      </c>
      <c r="AN91" s="12">
        <f>34166.67+55627.08</f>
        <v>89793.75</v>
      </c>
      <c r="AO91" s="12">
        <f>34166.67+55627.08</f>
        <v>89793.75</v>
      </c>
      <c r="AP91" s="12">
        <f>34166.67+55627.1</f>
        <v>89793.76999999999</v>
      </c>
      <c r="AQ91" s="3">
        <f>SUM(AE91:AP91)</f>
        <v>1077309.3799999999</v>
      </c>
      <c r="AR91" s="3">
        <f>34166.67+55627.08</f>
        <v>89793.75</v>
      </c>
      <c r="AS91" s="3">
        <f>34166.67+55627.08</f>
        <v>89793.75</v>
      </c>
      <c r="AT91" s="3">
        <f>34166.67+55627.08</f>
        <v>89793.75</v>
      </c>
      <c r="AU91" s="3">
        <f>34166.67+55627.08</f>
        <v>89793.75</v>
      </c>
      <c r="AV91" s="3">
        <f>34166.67+55627.08</f>
        <v>89793.75</v>
      </c>
      <c r="AW91" s="60">
        <f>34166.63+55627.1+67251.57-157045.3</f>
        <v>0</v>
      </c>
      <c r="BD91" s="3">
        <f>SUM(AR91:BC91)</f>
        <v>448968.75</v>
      </c>
    </row>
    <row r="92" spans="1:56" ht="13.5" thickBot="1" x14ac:dyDescent="0.35">
      <c r="D92" s="13" t="s">
        <v>51</v>
      </c>
      <c r="E92" s="14">
        <f t="shared" ref="E92:P92" si="70">SUM(E89:E91)</f>
        <v>90712.61</v>
      </c>
      <c r="F92" s="14">
        <f t="shared" si="70"/>
        <v>90462.61</v>
      </c>
      <c r="G92" s="14">
        <f t="shared" si="70"/>
        <v>90462.61</v>
      </c>
      <c r="H92" s="14">
        <f t="shared" si="70"/>
        <v>90462.61</v>
      </c>
      <c r="I92" s="14">
        <f t="shared" si="70"/>
        <v>90462.61</v>
      </c>
      <c r="J92" s="14">
        <f t="shared" si="70"/>
        <v>90462.540000000008</v>
      </c>
      <c r="K92" s="14">
        <f t="shared" si="70"/>
        <v>90699.58</v>
      </c>
      <c r="L92" s="14">
        <f t="shared" si="70"/>
        <v>90699.58</v>
      </c>
      <c r="M92" s="14">
        <f t="shared" si="70"/>
        <v>90671.67</v>
      </c>
      <c r="N92" s="14">
        <f t="shared" si="70"/>
        <v>90671.67</v>
      </c>
      <c r="O92" s="14">
        <f t="shared" si="70"/>
        <v>90671.67</v>
      </c>
      <c r="P92" s="14">
        <f t="shared" si="70"/>
        <v>90671.689999999988</v>
      </c>
      <c r="Q92" s="14">
        <f>SUM(Q89:Q91)</f>
        <v>1087111.45</v>
      </c>
      <c r="R92" s="14">
        <f t="shared" ref="R92:AC92" si="71">SUM(R89:R91)</f>
        <v>90921.67</v>
      </c>
      <c r="S92" s="14">
        <f t="shared" si="71"/>
        <v>90671.67</v>
      </c>
      <c r="T92" s="14">
        <f t="shared" si="71"/>
        <v>90671.67</v>
      </c>
      <c r="U92" s="14">
        <f t="shared" si="71"/>
        <v>90671.67</v>
      </c>
      <c r="V92" s="14">
        <f t="shared" si="71"/>
        <v>90671.67</v>
      </c>
      <c r="W92" s="14">
        <f t="shared" si="71"/>
        <v>90671.65</v>
      </c>
      <c r="X92" s="14">
        <f t="shared" si="71"/>
        <v>90823.24</v>
      </c>
      <c r="Y92" s="14">
        <f t="shared" si="71"/>
        <v>90823.24</v>
      </c>
      <c r="Z92" s="14">
        <f t="shared" si="71"/>
        <v>90794.49</v>
      </c>
      <c r="AA92" s="14">
        <f t="shared" si="71"/>
        <v>90794.49</v>
      </c>
      <c r="AB92" s="14">
        <f t="shared" si="71"/>
        <v>90794.49</v>
      </c>
      <c r="AC92" s="14">
        <f t="shared" si="71"/>
        <v>90794.469999999987</v>
      </c>
      <c r="AD92" s="14">
        <f>SUM(AD89:AD91)</f>
        <v>1089104.4200000004</v>
      </c>
      <c r="AE92" s="14">
        <f>SUM(AE89:AE91)</f>
        <v>91044.49</v>
      </c>
      <c r="AF92" s="14">
        <f>SUM(AF89:AF91)</f>
        <v>90794.49</v>
      </c>
      <c r="AG92" s="14">
        <f t="shared" ref="AG92:AP92" si="72">SUM(AG89:AG91)</f>
        <v>90794.49</v>
      </c>
      <c r="AH92" s="14">
        <f t="shared" si="72"/>
        <v>90794.49</v>
      </c>
      <c r="AI92" s="14">
        <f t="shared" si="72"/>
        <v>90794.49</v>
      </c>
      <c r="AJ92" s="14">
        <f t="shared" si="72"/>
        <v>90794.43</v>
      </c>
      <c r="AK92" s="14">
        <f t="shared" si="72"/>
        <v>90830.42</v>
      </c>
      <c r="AL92" s="14">
        <f t="shared" si="72"/>
        <v>90830.42</v>
      </c>
      <c r="AM92" s="14">
        <f t="shared" si="72"/>
        <v>89793.75</v>
      </c>
      <c r="AN92" s="14">
        <f t="shared" si="72"/>
        <v>90800.42</v>
      </c>
      <c r="AO92" s="14">
        <f t="shared" si="72"/>
        <v>90800.42</v>
      </c>
      <c r="AP92" s="14">
        <f t="shared" si="72"/>
        <v>90800.439999999988</v>
      </c>
      <c r="AQ92" s="22">
        <f>SUM(AQ89:AQ91)</f>
        <v>1088872.75</v>
      </c>
      <c r="AR92" s="22">
        <f t="shared" ref="AR92:BD92" si="73">SUM(AR89:AR91)</f>
        <v>91050.42</v>
      </c>
      <c r="AS92" s="22">
        <f t="shared" si="73"/>
        <v>90800.42</v>
      </c>
      <c r="AT92" s="22">
        <f t="shared" si="73"/>
        <v>90800.42</v>
      </c>
      <c r="AU92" s="22">
        <f t="shared" si="73"/>
        <v>90800.42</v>
      </c>
      <c r="AV92" s="22">
        <f t="shared" si="73"/>
        <v>90800.42</v>
      </c>
      <c r="AW92" s="98">
        <f t="shared" si="73"/>
        <v>0</v>
      </c>
      <c r="AX92" s="22">
        <f t="shared" si="73"/>
        <v>0</v>
      </c>
      <c r="AY92" s="22">
        <f t="shared" si="73"/>
        <v>0</v>
      </c>
      <c r="AZ92" s="22">
        <f t="shared" si="73"/>
        <v>0</v>
      </c>
      <c r="BA92" s="22">
        <f t="shared" si="73"/>
        <v>0</v>
      </c>
      <c r="BB92" s="22">
        <f t="shared" si="73"/>
        <v>0</v>
      </c>
      <c r="BC92" s="22">
        <f t="shared" si="73"/>
        <v>0</v>
      </c>
      <c r="BD92" s="22">
        <f t="shared" si="73"/>
        <v>454252.1</v>
      </c>
    </row>
    <row r="93" spans="1:56" x14ac:dyDescent="0.3">
      <c r="D93" s="15"/>
    </row>
    <row r="94" spans="1:56" ht="15.5" x14ac:dyDescent="0.35">
      <c r="B94" s="20">
        <f>+B82+1</f>
        <v>11</v>
      </c>
      <c r="C94" s="24" t="s">
        <v>14</v>
      </c>
      <c r="D94" s="25" t="s">
        <v>52</v>
      </c>
    </row>
    <row r="95" spans="1:56" x14ac:dyDescent="0.3">
      <c r="D95" s="8" t="str">
        <f>D89</f>
        <v>Debt Reserve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f>SUM(E95:P95)</f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f>SUM(R95:AC95)</f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3">
        <f>SUM(AE95:AP95)</f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f>SUM(AR95:BC95)</f>
        <v>0</v>
      </c>
    </row>
    <row r="96" spans="1:56" x14ac:dyDescent="0.3">
      <c r="D96" s="8" t="str">
        <f>D90</f>
        <v>Treasury Fee</v>
      </c>
      <c r="E96" s="11">
        <v>250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2">
        <f>SUM(E96:P96)</f>
        <v>250</v>
      </c>
      <c r="R96" s="11">
        <v>250</v>
      </c>
      <c r="AD96" s="12">
        <f>SUM(R96:AC96)</f>
        <v>250</v>
      </c>
      <c r="AE96" s="11">
        <v>250</v>
      </c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3">
        <f>SUM(AE96:AP96)</f>
        <v>250</v>
      </c>
      <c r="AR96" s="3">
        <v>250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f>SUM(AR96:BC96)</f>
        <v>250</v>
      </c>
    </row>
    <row r="97" spans="1:56" ht="13.5" thickBot="1" x14ac:dyDescent="0.35">
      <c r="A97" t="s">
        <v>53</v>
      </c>
      <c r="D97" s="8" t="str">
        <f>D91</f>
        <v>Intercept</v>
      </c>
      <c r="E97" s="11">
        <f>22144.1+17180.41</f>
        <v>39324.509999999995</v>
      </c>
      <c r="F97" s="11">
        <f>22587.01+16737.52</f>
        <v>39324.53</v>
      </c>
      <c r="G97" s="11">
        <f>22587.01+16737.52</f>
        <v>39324.53</v>
      </c>
      <c r="H97" s="11">
        <f>22587.01+16737.52</f>
        <v>39324.53</v>
      </c>
      <c r="I97" s="11">
        <f>22587.01+16737.52</f>
        <v>39324.53</v>
      </c>
      <c r="J97" s="11">
        <f>22587.01+16737.52</f>
        <v>39324.53</v>
      </c>
      <c r="K97" s="11">
        <f>22586.99+16737.51</f>
        <v>39324.5</v>
      </c>
      <c r="L97" s="11">
        <f>23038.75+16285.78</f>
        <v>39324.53</v>
      </c>
      <c r="M97" s="11">
        <f>23038.75+16285.78</f>
        <v>39324.53</v>
      </c>
      <c r="N97" s="11">
        <f>23038.75+16285.78</f>
        <v>39324.53</v>
      </c>
      <c r="O97" s="11">
        <f>23038.75+16285.78</f>
        <v>39324.53</v>
      </c>
      <c r="P97" s="11">
        <f>23038.75+16285.78</f>
        <v>39324.53</v>
      </c>
      <c r="Q97" s="12">
        <f>SUM(E97:P97)</f>
        <v>471894.31000000006</v>
      </c>
      <c r="R97" s="11">
        <v>39324.5</v>
      </c>
      <c r="S97" s="11">
        <v>39324.519999999997</v>
      </c>
      <c r="T97" s="11">
        <v>39324.519999999997</v>
      </c>
      <c r="U97" s="11">
        <v>39324.519999999997</v>
      </c>
      <c r="V97" s="11">
        <v>39324.519999999997</v>
      </c>
      <c r="W97" s="11">
        <v>39324.519999999997</v>
      </c>
      <c r="X97" s="11">
        <v>39324.550000000003</v>
      </c>
      <c r="Y97" s="11">
        <v>39324.519999999997</v>
      </c>
      <c r="Z97" s="11">
        <v>39324.519999999997</v>
      </c>
      <c r="AA97" s="11">
        <v>39324.519999999997</v>
      </c>
      <c r="AB97" s="11">
        <v>39324.519999999997</v>
      </c>
      <c r="AC97" s="11">
        <f>23969.51+15355.01</f>
        <v>39324.519999999997</v>
      </c>
      <c r="AD97" s="12">
        <f>SUM(R97:AC97)</f>
        <v>471894.25000000006</v>
      </c>
      <c r="AE97" s="12">
        <v>39324.559999999998</v>
      </c>
      <c r="AF97" s="12">
        <v>39324.519999999997</v>
      </c>
      <c r="AG97" s="12">
        <v>39324.519999999997</v>
      </c>
      <c r="AH97" s="12">
        <v>39324.519999999997</v>
      </c>
      <c r="AI97" s="12">
        <v>39324.519999999997</v>
      </c>
      <c r="AJ97" s="12">
        <v>39324.519999999997</v>
      </c>
      <c r="AK97" s="12">
        <v>39324.54</v>
      </c>
      <c r="AL97" s="12">
        <v>39324.53</v>
      </c>
      <c r="AM97" s="12">
        <v>39324.53</v>
      </c>
      <c r="AN97" s="12">
        <v>39324.53</v>
      </c>
      <c r="AO97" s="12">
        <v>39324.53</v>
      </c>
      <c r="AP97" s="12">
        <v>39324.53</v>
      </c>
      <c r="AQ97" s="3">
        <f>SUM(AE97:AP97)</f>
        <v>471894.35000000009</v>
      </c>
      <c r="AR97" s="3">
        <f>24937.88+14386.65</f>
        <v>39324.53</v>
      </c>
      <c r="AS97" s="3">
        <f>24937.88+14386.62</f>
        <v>39324.5</v>
      </c>
      <c r="AT97" s="3">
        <f>25436.64+13887.89</f>
        <v>39324.53</v>
      </c>
      <c r="AU97" s="3">
        <f>25436.64+13887.89</f>
        <v>39324.53</v>
      </c>
      <c r="AV97" s="65">
        <f>25436.64+13887.89</f>
        <v>39324.53</v>
      </c>
      <c r="AW97" s="65">
        <f>25436.64+13887.89</f>
        <v>39324.53</v>
      </c>
      <c r="AX97" s="65">
        <f>25436.64+13887.89</f>
        <v>39324.53</v>
      </c>
      <c r="AY97" s="65">
        <f>25436.63+13887.87</f>
        <v>39324.5</v>
      </c>
      <c r="AZ97" s="65">
        <f>25945.37+13379.16</f>
        <v>39324.53</v>
      </c>
      <c r="BA97" s="65">
        <f>25945.37+13379.16</f>
        <v>39324.53</v>
      </c>
      <c r="BB97" s="65">
        <f>25945.37+13379.16</f>
        <v>39324.53</v>
      </c>
      <c r="BC97" s="65">
        <f>25945.37+13379.16</f>
        <v>39324.53</v>
      </c>
      <c r="BD97" s="3">
        <f>SUM(AR97:BC97)</f>
        <v>471894.30000000005</v>
      </c>
    </row>
    <row r="98" spans="1:56" ht="13.5" thickBot="1" x14ac:dyDescent="0.35">
      <c r="D98" s="13" t="s">
        <v>54</v>
      </c>
      <c r="E98" s="14">
        <f t="shared" ref="E98:P98" si="74">SUM(E95:E97)</f>
        <v>39574.509999999995</v>
      </c>
      <c r="F98" s="14">
        <f t="shared" si="74"/>
        <v>39324.53</v>
      </c>
      <c r="G98" s="14">
        <f t="shared" si="74"/>
        <v>39324.53</v>
      </c>
      <c r="H98" s="14">
        <f t="shared" si="74"/>
        <v>39324.53</v>
      </c>
      <c r="I98" s="14">
        <f t="shared" si="74"/>
        <v>39324.53</v>
      </c>
      <c r="J98" s="14">
        <f t="shared" si="74"/>
        <v>39324.53</v>
      </c>
      <c r="K98" s="14">
        <f t="shared" si="74"/>
        <v>39324.5</v>
      </c>
      <c r="L98" s="14">
        <f t="shared" si="74"/>
        <v>39324.53</v>
      </c>
      <c r="M98" s="14">
        <f t="shared" si="74"/>
        <v>39324.53</v>
      </c>
      <c r="N98" s="14">
        <f t="shared" si="74"/>
        <v>39324.53</v>
      </c>
      <c r="O98" s="14">
        <f t="shared" si="74"/>
        <v>39324.53</v>
      </c>
      <c r="P98" s="14">
        <f t="shared" si="74"/>
        <v>39324.53</v>
      </c>
      <c r="Q98" s="14">
        <f>SUM(Q95:Q97)</f>
        <v>472144.31000000006</v>
      </c>
      <c r="R98" s="14">
        <f t="shared" ref="R98:AC98" si="75">SUM(R95:R97)</f>
        <v>39574.5</v>
      </c>
      <c r="S98" s="14">
        <f t="shared" si="75"/>
        <v>39324.519999999997</v>
      </c>
      <c r="T98" s="14">
        <f t="shared" si="75"/>
        <v>39324.519999999997</v>
      </c>
      <c r="U98" s="14">
        <f t="shared" si="75"/>
        <v>39324.519999999997</v>
      </c>
      <c r="V98" s="14">
        <f t="shared" si="75"/>
        <v>39324.519999999997</v>
      </c>
      <c r="W98" s="14">
        <f t="shared" si="75"/>
        <v>39324.519999999997</v>
      </c>
      <c r="X98" s="14">
        <f t="shared" si="75"/>
        <v>39324.550000000003</v>
      </c>
      <c r="Y98" s="14">
        <f t="shared" si="75"/>
        <v>39324.519999999997</v>
      </c>
      <c r="Z98" s="14">
        <f t="shared" si="75"/>
        <v>39324.519999999997</v>
      </c>
      <c r="AA98" s="14">
        <f t="shared" si="75"/>
        <v>39324.519999999997</v>
      </c>
      <c r="AB98" s="14">
        <f t="shared" si="75"/>
        <v>39324.519999999997</v>
      </c>
      <c r="AC98" s="14">
        <f t="shared" si="75"/>
        <v>39324.519999999997</v>
      </c>
      <c r="AD98" s="14">
        <f>SUM(AD95:AD97)</f>
        <v>472144.25000000006</v>
      </c>
      <c r="AE98" s="14">
        <f>SUM(AE95:AE97)</f>
        <v>39574.559999999998</v>
      </c>
      <c r="AF98" s="14">
        <f>SUM(AF95:AF97)</f>
        <v>39324.519999999997</v>
      </c>
      <c r="AG98" s="14">
        <f t="shared" ref="AG98:AP98" si="76">SUM(AG95:AG97)</f>
        <v>39324.519999999997</v>
      </c>
      <c r="AH98" s="14">
        <f t="shared" si="76"/>
        <v>39324.519999999997</v>
      </c>
      <c r="AI98" s="14">
        <f t="shared" si="76"/>
        <v>39324.519999999997</v>
      </c>
      <c r="AJ98" s="14">
        <f t="shared" si="76"/>
        <v>39324.519999999997</v>
      </c>
      <c r="AK98" s="14">
        <f t="shared" si="76"/>
        <v>39324.54</v>
      </c>
      <c r="AL98" s="14">
        <f t="shared" si="76"/>
        <v>39324.53</v>
      </c>
      <c r="AM98" s="14">
        <f t="shared" si="76"/>
        <v>39324.53</v>
      </c>
      <c r="AN98" s="14">
        <f t="shared" si="76"/>
        <v>39324.53</v>
      </c>
      <c r="AO98" s="14">
        <f t="shared" si="76"/>
        <v>39324.53</v>
      </c>
      <c r="AP98" s="14">
        <f t="shared" si="76"/>
        <v>39324.53</v>
      </c>
      <c r="AQ98" s="22">
        <f>SUM(AQ95:AQ97)</f>
        <v>472144.35000000009</v>
      </c>
      <c r="AR98" s="22">
        <f t="shared" ref="AR98:BD98" si="77">SUM(AR95:AR97)</f>
        <v>39574.53</v>
      </c>
      <c r="AS98" s="22">
        <f t="shared" si="77"/>
        <v>39324.5</v>
      </c>
      <c r="AT98" s="22">
        <f t="shared" si="77"/>
        <v>39324.53</v>
      </c>
      <c r="AU98" s="22">
        <f t="shared" si="77"/>
        <v>39324.53</v>
      </c>
      <c r="AV98" s="22">
        <f t="shared" si="77"/>
        <v>39324.53</v>
      </c>
      <c r="AW98" s="22">
        <f t="shared" si="77"/>
        <v>39324.53</v>
      </c>
      <c r="AX98" s="22">
        <f t="shared" si="77"/>
        <v>39324.53</v>
      </c>
      <c r="AY98" s="22">
        <f t="shared" si="77"/>
        <v>39324.5</v>
      </c>
      <c r="AZ98" s="22">
        <f t="shared" si="77"/>
        <v>39324.53</v>
      </c>
      <c r="BA98" s="22">
        <f t="shared" si="77"/>
        <v>39324.53</v>
      </c>
      <c r="BB98" s="22">
        <f t="shared" si="77"/>
        <v>39324.53</v>
      </c>
      <c r="BC98" s="22">
        <f t="shared" si="77"/>
        <v>39324.53</v>
      </c>
      <c r="BD98" s="22">
        <f t="shared" si="77"/>
        <v>472144.30000000005</v>
      </c>
    </row>
    <row r="99" spans="1:56" x14ac:dyDescent="0.3">
      <c r="D99" s="15"/>
    </row>
    <row r="100" spans="1:56" ht="15.5" x14ac:dyDescent="0.35">
      <c r="B100" s="20">
        <f>+B94+1</f>
        <v>12</v>
      </c>
      <c r="C100" s="24" t="s">
        <v>14</v>
      </c>
      <c r="D100" s="25" t="s">
        <v>55</v>
      </c>
    </row>
    <row r="101" spans="1:56" x14ac:dyDescent="0.3">
      <c r="D101" s="8" t="str">
        <f>D95</f>
        <v>Debt Reserve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f>SUM(E101:P101)</f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f>SUM(R101:AC101)</f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3">
        <f>SUM(AE101:AP101)</f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f>SUM(AR101:BC101)</f>
        <v>0</v>
      </c>
    </row>
    <row r="102" spans="1:56" x14ac:dyDescent="0.3">
      <c r="D102" s="8" t="str">
        <f>D96</f>
        <v>Treasury Fee</v>
      </c>
      <c r="E102" s="11">
        <v>250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2">
        <f>SUM(E102:P102)</f>
        <v>250</v>
      </c>
      <c r="R102" s="11">
        <v>250</v>
      </c>
      <c r="AD102" s="12">
        <f>SUM(R102:AC102)</f>
        <v>250</v>
      </c>
      <c r="AE102" s="11">
        <v>250</v>
      </c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3">
        <f>SUM(AE102:AP102)</f>
        <v>250</v>
      </c>
      <c r="AR102" s="3">
        <v>250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f>SUM(AR102:BC102)</f>
        <v>250</v>
      </c>
    </row>
    <row r="103" spans="1:56" ht="13.5" thickBot="1" x14ac:dyDescent="0.35">
      <c r="A103" t="s">
        <v>56</v>
      </c>
      <c r="D103" s="8" t="str">
        <f>D97</f>
        <v>Intercept</v>
      </c>
      <c r="E103" s="11">
        <f>5000+15002.29</f>
        <v>20002.29</v>
      </c>
      <c r="F103" s="11">
        <f>5000+15002.29</f>
        <v>20002.29</v>
      </c>
      <c r="G103" s="11">
        <f>5000+15002.29</f>
        <v>20002.29</v>
      </c>
      <c r="H103" s="11">
        <f>5000+15002.3</f>
        <v>20002.3</v>
      </c>
      <c r="I103" s="11">
        <f>5000+14734.79</f>
        <v>19734.79</v>
      </c>
      <c r="J103" s="11">
        <f t="shared" ref="J103:T103" si="78">5000+14734.79</f>
        <v>19734.79</v>
      </c>
      <c r="K103" s="11">
        <f t="shared" si="78"/>
        <v>19734.79</v>
      </c>
      <c r="L103" s="11">
        <f t="shared" si="78"/>
        <v>19734.79</v>
      </c>
      <c r="M103" s="11">
        <f t="shared" si="78"/>
        <v>19734.79</v>
      </c>
      <c r="N103" s="11">
        <f>5000+14734.8</f>
        <v>19734.8</v>
      </c>
      <c r="O103" s="11">
        <f t="shared" si="78"/>
        <v>19734.79</v>
      </c>
      <c r="P103" s="11">
        <f t="shared" si="78"/>
        <v>19734.79</v>
      </c>
      <c r="Q103" s="12">
        <f>SUM(E103:P103)</f>
        <v>237887.50000000003</v>
      </c>
      <c r="R103" s="11">
        <f t="shared" si="78"/>
        <v>19734.79</v>
      </c>
      <c r="S103" s="11">
        <f t="shared" si="78"/>
        <v>19734.79</v>
      </c>
      <c r="T103" s="11">
        <f t="shared" si="78"/>
        <v>19734.79</v>
      </c>
      <c r="U103" s="11">
        <f>5000+14734.8</f>
        <v>19734.8</v>
      </c>
      <c r="V103" s="11">
        <f>5416.67+14467.29</f>
        <v>19883.96</v>
      </c>
      <c r="W103" s="11">
        <f t="shared" ref="W103:AG103" si="79">5416.67+14467.29</f>
        <v>19883.96</v>
      </c>
      <c r="X103" s="11">
        <f t="shared" si="79"/>
        <v>19883.96</v>
      </c>
      <c r="Y103" s="11">
        <f t="shared" si="79"/>
        <v>19883.96</v>
      </c>
      <c r="Z103" s="11">
        <f t="shared" si="79"/>
        <v>19883.96</v>
      </c>
      <c r="AA103" s="11">
        <f>5416.67+14467.3</f>
        <v>19883.97</v>
      </c>
      <c r="AB103" s="11">
        <f t="shared" si="79"/>
        <v>19883.96</v>
      </c>
      <c r="AC103" s="11">
        <f t="shared" si="79"/>
        <v>19883.96</v>
      </c>
      <c r="AD103" s="12">
        <f>SUM(R103:AC103)</f>
        <v>238010.85999999996</v>
      </c>
      <c r="AE103" s="11">
        <f t="shared" si="79"/>
        <v>19883.96</v>
      </c>
      <c r="AF103" s="11">
        <f t="shared" si="79"/>
        <v>19883.96</v>
      </c>
      <c r="AG103" s="11">
        <f t="shared" si="79"/>
        <v>19883.96</v>
      </c>
      <c r="AH103" s="11">
        <f>5416.63+14467.3</f>
        <v>19883.93</v>
      </c>
      <c r="AI103" s="12">
        <f>5833.33+14177.5</f>
        <v>20010.830000000002</v>
      </c>
      <c r="AJ103" s="12">
        <f t="shared" ref="AJ103:AP103" si="80">5833.33+14177.5</f>
        <v>20010.830000000002</v>
      </c>
      <c r="AK103" s="12">
        <f t="shared" si="80"/>
        <v>20010.830000000002</v>
      </c>
      <c r="AL103" s="12">
        <f t="shared" si="80"/>
        <v>20010.830000000002</v>
      </c>
      <c r="AM103" s="12">
        <f t="shared" si="80"/>
        <v>20010.830000000002</v>
      </c>
      <c r="AN103" s="12">
        <f t="shared" si="80"/>
        <v>20010.830000000002</v>
      </c>
      <c r="AO103" s="12">
        <f t="shared" si="80"/>
        <v>20010.830000000002</v>
      </c>
      <c r="AP103" s="12">
        <f t="shared" si="80"/>
        <v>20010.830000000002</v>
      </c>
      <c r="AQ103" s="3">
        <f>SUM(AE103:AP103)</f>
        <v>239622.45000000007</v>
      </c>
      <c r="AR103" s="3">
        <f>5833.33+14177.5</f>
        <v>20010.830000000002</v>
      </c>
      <c r="AS103" s="3">
        <f>5833.33+14177.5</f>
        <v>20010.830000000002</v>
      </c>
      <c r="AT103" s="3">
        <f>5833.33+14177.5</f>
        <v>20010.830000000002</v>
      </c>
      <c r="AU103" s="3">
        <f>5833.37+14177.5</f>
        <v>20010.87</v>
      </c>
      <c r="AV103" s="3">
        <f>5833.33+13865.42</f>
        <v>19698.75</v>
      </c>
      <c r="AW103" s="3">
        <f>5833.33+13865.42</f>
        <v>19698.75</v>
      </c>
      <c r="AX103" s="3">
        <f>5833.33+13865.42</f>
        <v>19698.75</v>
      </c>
      <c r="AY103" s="3">
        <f>5833.33+13865.42</f>
        <v>19698.75</v>
      </c>
      <c r="AZ103" s="3">
        <f>5833.33+13865.42</f>
        <v>19698.75</v>
      </c>
      <c r="BA103" s="3">
        <f>5833.33+13865.4</f>
        <v>19698.73</v>
      </c>
      <c r="BB103" s="3">
        <f>5833.33+13865.42</f>
        <v>19698.75</v>
      </c>
      <c r="BC103" s="3">
        <f>5833.33+13865.42</f>
        <v>19698.75</v>
      </c>
      <c r="BD103" s="3">
        <f>SUM(AR103:BC103)</f>
        <v>237633.34</v>
      </c>
    </row>
    <row r="104" spans="1:56" ht="13.5" thickBot="1" x14ac:dyDescent="0.35">
      <c r="D104" s="13" t="s">
        <v>57</v>
      </c>
      <c r="E104" s="14">
        <f t="shared" ref="E104:P104" si="81">SUM(E101:E103)</f>
        <v>20252.29</v>
      </c>
      <c r="F104" s="14">
        <f t="shared" si="81"/>
        <v>20002.29</v>
      </c>
      <c r="G104" s="14">
        <f t="shared" si="81"/>
        <v>20002.29</v>
      </c>
      <c r="H104" s="14">
        <f t="shared" si="81"/>
        <v>20002.3</v>
      </c>
      <c r="I104" s="14">
        <f t="shared" si="81"/>
        <v>19734.79</v>
      </c>
      <c r="J104" s="14">
        <f t="shared" si="81"/>
        <v>19734.79</v>
      </c>
      <c r="K104" s="14">
        <f t="shared" si="81"/>
        <v>19734.79</v>
      </c>
      <c r="L104" s="14">
        <f t="shared" si="81"/>
        <v>19734.79</v>
      </c>
      <c r="M104" s="14">
        <f t="shared" si="81"/>
        <v>19734.79</v>
      </c>
      <c r="N104" s="14">
        <f t="shared" si="81"/>
        <v>19734.8</v>
      </c>
      <c r="O104" s="14">
        <f t="shared" si="81"/>
        <v>19734.79</v>
      </c>
      <c r="P104" s="14">
        <f t="shared" si="81"/>
        <v>19734.79</v>
      </c>
      <c r="Q104" s="14">
        <f>SUM(Q101:Q103)</f>
        <v>238137.50000000003</v>
      </c>
      <c r="R104" s="14">
        <f t="shared" ref="R104:AC104" si="82">SUM(R101:R103)</f>
        <v>19984.79</v>
      </c>
      <c r="S104" s="14">
        <f t="shared" si="82"/>
        <v>19734.79</v>
      </c>
      <c r="T104" s="14">
        <f t="shared" si="82"/>
        <v>19734.79</v>
      </c>
      <c r="U104" s="14">
        <f t="shared" si="82"/>
        <v>19734.8</v>
      </c>
      <c r="V104" s="14">
        <f t="shared" si="82"/>
        <v>19883.96</v>
      </c>
      <c r="W104" s="14">
        <f t="shared" si="82"/>
        <v>19883.96</v>
      </c>
      <c r="X104" s="14">
        <f t="shared" si="82"/>
        <v>19883.96</v>
      </c>
      <c r="Y104" s="14">
        <f t="shared" si="82"/>
        <v>19883.96</v>
      </c>
      <c r="Z104" s="14">
        <f t="shared" si="82"/>
        <v>19883.96</v>
      </c>
      <c r="AA104" s="14">
        <f t="shared" si="82"/>
        <v>19883.97</v>
      </c>
      <c r="AB104" s="14">
        <f t="shared" si="82"/>
        <v>19883.96</v>
      </c>
      <c r="AC104" s="14">
        <f t="shared" si="82"/>
        <v>19883.96</v>
      </c>
      <c r="AD104" s="14">
        <f>SUM(AD101:AD103)</f>
        <v>238260.85999999996</v>
      </c>
      <c r="AE104" s="14">
        <f>SUM(AE101:AE103)</f>
        <v>20133.96</v>
      </c>
      <c r="AF104" s="14">
        <f>SUM(AF101:AF103)</f>
        <v>19883.96</v>
      </c>
      <c r="AG104" s="14">
        <f t="shared" ref="AG104:AP104" si="83">SUM(AG101:AG103)</f>
        <v>19883.96</v>
      </c>
      <c r="AH104" s="14">
        <f t="shared" si="83"/>
        <v>19883.93</v>
      </c>
      <c r="AI104" s="14">
        <f t="shared" si="83"/>
        <v>20010.830000000002</v>
      </c>
      <c r="AJ104" s="14">
        <f t="shared" si="83"/>
        <v>20010.830000000002</v>
      </c>
      <c r="AK104" s="14">
        <f t="shared" si="83"/>
        <v>20010.830000000002</v>
      </c>
      <c r="AL104" s="14">
        <f t="shared" si="83"/>
        <v>20010.830000000002</v>
      </c>
      <c r="AM104" s="14">
        <f t="shared" si="83"/>
        <v>20010.830000000002</v>
      </c>
      <c r="AN104" s="14">
        <f t="shared" si="83"/>
        <v>20010.830000000002</v>
      </c>
      <c r="AO104" s="14">
        <f t="shared" si="83"/>
        <v>20010.830000000002</v>
      </c>
      <c r="AP104" s="14">
        <f t="shared" si="83"/>
        <v>20010.830000000002</v>
      </c>
      <c r="AQ104" s="22">
        <f>SUM(AQ101:AQ103)</f>
        <v>239872.45000000007</v>
      </c>
      <c r="AR104" s="22">
        <f t="shared" ref="AR104:BD104" si="84">SUM(AR101:AR103)</f>
        <v>20260.830000000002</v>
      </c>
      <c r="AS104" s="22">
        <f t="shared" si="84"/>
        <v>20010.830000000002</v>
      </c>
      <c r="AT104" s="22">
        <f t="shared" si="84"/>
        <v>20010.830000000002</v>
      </c>
      <c r="AU104" s="22">
        <f t="shared" si="84"/>
        <v>20010.87</v>
      </c>
      <c r="AV104" s="22">
        <f t="shared" si="84"/>
        <v>19698.75</v>
      </c>
      <c r="AW104" s="22">
        <f t="shared" si="84"/>
        <v>19698.75</v>
      </c>
      <c r="AX104" s="22">
        <f t="shared" si="84"/>
        <v>19698.75</v>
      </c>
      <c r="AY104" s="22">
        <f t="shared" si="84"/>
        <v>19698.75</v>
      </c>
      <c r="AZ104" s="22">
        <f t="shared" si="84"/>
        <v>19698.75</v>
      </c>
      <c r="BA104" s="22">
        <f t="shared" si="84"/>
        <v>19698.73</v>
      </c>
      <c r="BB104" s="22">
        <f t="shared" si="84"/>
        <v>19698.75</v>
      </c>
      <c r="BC104" s="22">
        <f t="shared" si="84"/>
        <v>19698.75</v>
      </c>
      <c r="BD104" s="22">
        <f t="shared" si="84"/>
        <v>237883.34</v>
      </c>
    </row>
    <row r="105" spans="1:56" x14ac:dyDescent="0.3">
      <c r="D105" s="15"/>
    </row>
    <row r="106" spans="1:56" ht="15.5" x14ac:dyDescent="0.35">
      <c r="B106" s="20">
        <f>+B100+1</f>
        <v>13</v>
      </c>
      <c r="C106" s="24" t="s">
        <v>14</v>
      </c>
      <c r="D106" s="10" t="s">
        <v>58</v>
      </c>
    </row>
    <row r="107" spans="1:56" x14ac:dyDescent="0.3">
      <c r="D107" s="8" t="str">
        <f>D101</f>
        <v>Debt Reserve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f>SUM(E107:P107)</f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f>SUM(R107:AC107)</f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3">
        <f>SUM(AE107:AP107)</f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f>SUM(AR107:BC107)</f>
        <v>0</v>
      </c>
    </row>
    <row r="108" spans="1:56" x14ac:dyDescent="0.3">
      <c r="D108" s="8" t="str">
        <f>D102</f>
        <v>Treasury Fee</v>
      </c>
      <c r="E108" s="11">
        <v>250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2">
        <f>SUM(E108:P108)</f>
        <v>250</v>
      </c>
      <c r="R108" s="11">
        <v>250</v>
      </c>
      <c r="AD108" s="12">
        <f>SUM(R108:AC108)</f>
        <v>250</v>
      </c>
      <c r="AE108" s="11">
        <v>250</v>
      </c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3">
        <f>SUM(AE108:AP108)</f>
        <v>250</v>
      </c>
      <c r="AR108" s="3">
        <v>250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f>SUM(AR108:BC108)</f>
        <v>250</v>
      </c>
    </row>
    <row r="109" spans="1:56" ht="13.5" thickBot="1" x14ac:dyDescent="0.35">
      <c r="D109" s="8" t="str">
        <f>D103</f>
        <v>Intercept</v>
      </c>
      <c r="E109" s="11">
        <f t="shared" ref="E109:N109" si="85">38750+119210.42</f>
        <v>157960.41999999998</v>
      </c>
      <c r="F109" s="11">
        <f t="shared" si="85"/>
        <v>157960.41999999998</v>
      </c>
      <c r="G109" s="11">
        <f t="shared" si="85"/>
        <v>157960.41999999998</v>
      </c>
      <c r="H109" s="11">
        <f t="shared" si="85"/>
        <v>157960.41999999998</v>
      </c>
      <c r="I109" s="11">
        <f t="shared" si="85"/>
        <v>157960.41999999998</v>
      </c>
      <c r="J109" s="11">
        <f t="shared" si="85"/>
        <v>157960.41999999998</v>
      </c>
      <c r="K109" s="11">
        <f t="shared" si="85"/>
        <v>157960.41999999998</v>
      </c>
      <c r="L109" s="11">
        <f t="shared" si="85"/>
        <v>157960.41999999998</v>
      </c>
      <c r="M109" s="11">
        <f t="shared" si="85"/>
        <v>157960.41999999998</v>
      </c>
      <c r="N109" s="11">
        <f t="shared" si="85"/>
        <v>157960.41999999998</v>
      </c>
      <c r="O109" s="11">
        <f>40000+117611.98</f>
        <v>157611.97999999998</v>
      </c>
      <c r="P109" s="11">
        <f>40000+117611.98</f>
        <v>157611.97999999998</v>
      </c>
      <c r="Q109" s="12">
        <f>SUM(E109:P109)</f>
        <v>1894828.1599999995</v>
      </c>
      <c r="R109" s="11">
        <f t="shared" ref="R109:AA109" si="86">40000+117611.98</f>
        <v>157611.97999999998</v>
      </c>
      <c r="S109" s="11">
        <f t="shared" si="86"/>
        <v>157611.97999999998</v>
      </c>
      <c r="T109" s="11">
        <f t="shared" si="86"/>
        <v>157611.97999999998</v>
      </c>
      <c r="U109" s="11">
        <f t="shared" si="86"/>
        <v>157611.97999999998</v>
      </c>
      <c r="V109" s="11">
        <f t="shared" si="86"/>
        <v>157611.97999999998</v>
      </c>
      <c r="W109" s="11">
        <f t="shared" si="86"/>
        <v>157611.97999999998</v>
      </c>
      <c r="X109" s="11">
        <f t="shared" si="86"/>
        <v>157611.97999999998</v>
      </c>
      <c r="Y109" s="11">
        <f t="shared" si="86"/>
        <v>157611.97999999998</v>
      </c>
      <c r="Z109" s="11">
        <f t="shared" si="86"/>
        <v>157611.97999999998</v>
      </c>
      <c r="AA109" s="11">
        <f t="shared" si="86"/>
        <v>157611.97999999998</v>
      </c>
      <c r="AB109" s="11">
        <f>42083.33+115961.98</f>
        <v>158045.31</v>
      </c>
      <c r="AC109" s="11">
        <f>42083.33+115961.98</f>
        <v>158045.31</v>
      </c>
      <c r="AD109" s="12">
        <f>SUM(R109:AC109)</f>
        <v>1892210.42</v>
      </c>
      <c r="AE109" s="11">
        <f t="shared" ref="AE109:AN109" si="87">42083.33+115961.98</f>
        <v>158045.31</v>
      </c>
      <c r="AF109" s="11">
        <f t="shared" si="87"/>
        <v>158045.31</v>
      </c>
      <c r="AG109" s="11">
        <f t="shared" si="87"/>
        <v>158045.31</v>
      </c>
      <c r="AH109" s="11">
        <f t="shared" si="87"/>
        <v>158045.31</v>
      </c>
      <c r="AI109" s="11">
        <f t="shared" si="87"/>
        <v>158045.31</v>
      </c>
      <c r="AJ109" s="11">
        <f t="shared" si="87"/>
        <v>158045.31</v>
      </c>
      <c r="AK109" s="11">
        <f t="shared" si="87"/>
        <v>158045.31</v>
      </c>
      <c r="AL109" s="11">
        <f t="shared" si="87"/>
        <v>158045.31</v>
      </c>
      <c r="AM109" s="11">
        <f t="shared" si="87"/>
        <v>158045.31</v>
      </c>
      <c r="AN109" s="11">
        <f t="shared" si="87"/>
        <v>158045.31</v>
      </c>
      <c r="AO109" s="12">
        <v>157559.38</v>
      </c>
      <c r="AP109" s="12">
        <v>157559.38</v>
      </c>
      <c r="AQ109" s="3">
        <f>SUM(AE109:AP109)</f>
        <v>1895571.8600000003</v>
      </c>
      <c r="AR109" s="3">
        <f>43333.33+114226.04</f>
        <v>157559.37</v>
      </c>
      <c r="AS109" s="3">
        <f t="shared" ref="AS109:AU109" si="88">43333.33+114226.04</f>
        <v>157559.37</v>
      </c>
      <c r="AT109" s="60">
        <f t="shared" si="88"/>
        <v>157559.37</v>
      </c>
      <c r="AU109" s="60">
        <f t="shared" si="88"/>
        <v>157559.37</v>
      </c>
      <c r="BD109" s="3">
        <f>SUM(AR109:BC109)</f>
        <v>630237.48</v>
      </c>
    </row>
    <row r="110" spans="1:56" ht="13.5" thickBot="1" x14ac:dyDescent="0.35">
      <c r="D110" s="13" t="s">
        <v>59</v>
      </c>
      <c r="E110" s="14">
        <f t="shared" ref="E110:P110" si="89">SUM(E107:E109)</f>
        <v>158210.41999999998</v>
      </c>
      <c r="F110" s="14">
        <f t="shared" si="89"/>
        <v>157960.41999999998</v>
      </c>
      <c r="G110" s="14">
        <f t="shared" si="89"/>
        <v>157960.41999999998</v>
      </c>
      <c r="H110" s="14">
        <f t="shared" si="89"/>
        <v>157960.41999999998</v>
      </c>
      <c r="I110" s="14">
        <f t="shared" si="89"/>
        <v>157960.41999999998</v>
      </c>
      <c r="J110" s="14">
        <f t="shared" si="89"/>
        <v>157960.41999999998</v>
      </c>
      <c r="K110" s="14">
        <f t="shared" si="89"/>
        <v>157960.41999999998</v>
      </c>
      <c r="L110" s="14">
        <f t="shared" si="89"/>
        <v>157960.41999999998</v>
      </c>
      <c r="M110" s="14">
        <f t="shared" si="89"/>
        <v>157960.41999999998</v>
      </c>
      <c r="N110" s="14">
        <f t="shared" si="89"/>
        <v>157960.41999999998</v>
      </c>
      <c r="O110" s="14">
        <f t="shared" si="89"/>
        <v>157611.97999999998</v>
      </c>
      <c r="P110" s="14">
        <f t="shared" si="89"/>
        <v>157611.97999999998</v>
      </c>
      <c r="Q110" s="14">
        <f>SUM(Q107:Q109)</f>
        <v>1895078.1599999995</v>
      </c>
      <c r="R110" s="14">
        <f t="shared" ref="R110:AC110" si="90">SUM(R107:R109)</f>
        <v>157861.97999999998</v>
      </c>
      <c r="S110" s="14">
        <f t="shared" si="90"/>
        <v>157611.97999999998</v>
      </c>
      <c r="T110" s="14">
        <f t="shared" si="90"/>
        <v>157611.97999999998</v>
      </c>
      <c r="U110" s="14">
        <f t="shared" si="90"/>
        <v>157611.97999999998</v>
      </c>
      <c r="V110" s="14">
        <f t="shared" si="90"/>
        <v>157611.97999999998</v>
      </c>
      <c r="W110" s="14">
        <f t="shared" si="90"/>
        <v>157611.97999999998</v>
      </c>
      <c r="X110" s="14">
        <f t="shared" si="90"/>
        <v>157611.97999999998</v>
      </c>
      <c r="Y110" s="14">
        <f t="shared" si="90"/>
        <v>157611.97999999998</v>
      </c>
      <c r="Z110" s="14">
        <f t="shared" si="90"/>
        <v>157611.97999999998</v>
      </c>
      <c r="AA110" s="14">
        <f t="shared" si="90"/>
        <v>157611.97999999998</v>
      </c>
      <c r="AB110" s="14">
        <f t="shared" si="90"/>
        <v>158045.31</v>
      </c>
      <c r="AC110" s="14">
        <f t="shared" si="90"/>
        <v>158045.31</v>
      </c>
      <c r="AD110" s="14">
        <f>SUM(AD107:AD109)</f>
        <v>1892460.42</v>
      </c>
      <c r="AE110" s="14">
        <f>SUM(AE107:AE109)</f>
        <v>158295.31</v>
      </c>
      <c r="AF110" s="14">
        <f>SUM(AF107:AF109)</f>
        <v>158045.31</v>
      </c>
      <c r="AG110" s="14">
        <f t="shared" ref="AG110:AP110" si="91">SUM(AG107:AG109)</f>
        <v>158045.31</v>
      </c>
      <c r="AH110" s="14">
        <f t="shared" si="91"/>
        <v>158045.31</v>
      </c>
      <c r="AI110" s="14">
        <f t="shared" si="91"/>
        <v>158045.31</v>
      </c>
      <c r="AJ110" s="14">
        <f t="shared" si="91"/>
        <v>158045.31</v>
      </c>
      <c r="AK110" s="14">
        <f t="shared" si="91"/>
        <v>158045.31</v>
      </c>
      <c r="AL110" s="14">
        <f t="shared" si="91"/>
        <v>158045.31</v>
      </c>
      <c r="AM110" s="14">
        <f t="shared" si="91"/>
        <v>158045.31</v>
      </c>
      <c r="AN110" s="14">
        <f t="shared" si="91"/>
        <v>158045.31</v>
      </c>
      <c r="AO110" s="14">
        <f t="shared" si="91"/>
        <v>157559.38</v>
      </c>
      <c r="AP110" s="14">
        <f t="shared" si="91"/>
        <v>157559.38</v>
      </c>
      <c r="AQ110" s="22">
        <f>SUM(AQ107:AQ109)</f>
        <v>1895821.8600000003</v>
      </c>
      <c r="AR110" s="22">
        <f t="shared" ref="AR110:BD110" si="92">SUM(AR107:AR109)</f>
        <v>157809.37</v>
      </c>
      <c r="AS110" s="22">
        <f t="shared" si="92"/>
        <v>157559.37</v>
      </c>
      <c r="AT110" s="22">
        <f t="shared" si="92"/>
        <v>157559.37</v>
      </c>
      <c r="AU110" s="22">
        <f t="shared" si="92"/>
        <v>157559.37</v>
      </c>
      <c r="AV110" s="22">
        <f t="shared" si="92"/>
        <v>0</v>
      </c>
      <c r="AW110" s="22">
        <f t="shared" si="92"/>
        <v>0</v>
      </c>
      <c r="AX110" s="22">
        <f t="shared" si="92"/>
        <v>0</v>
      </c>
      <c r="AY110" s="22">
        <f t="shared" si="92"/>
        <v>0</v>
      </c>
      <c r="AZ110" s="22">
        <f t="shared" si="92"/>
        <v>0</v>
      </c>
      <c r="BA110" s="22">
        <f t="shared" si="92"/>
        <v>0</v>
      </c>
      <c r="BB110" s="22">
        <f t="shared" si="92"/>
        <v>0</v>
      </c>
      <c r="BC110" s="22">
        <f t="shared" si="92"/>
        <v>0</v>
      </c>
      <c r="BD110" s="22">
        <f t="shared" si="92"/>
        <v>630487.48</v>
      </c>
    </row>
    <row r="111" spans="1:56" x14ac:dyDescent="0.3">
      <c r="D111" s="15"/>
    </row>
    <row r="112" spans="1:56" ht="15.5" x14ac:dyDescent="0.35">
      <c r="B112" s="20">
        <f>+B106+1</f>
        <v>14</v>
      </c>
      <c r="C112" s="24" t="s">
        <v>14</v>
      </c>
      <c r="D112" s="25" t="s">
        <v>60</v>
      </c>
    </row>
    <row r="113" spans="1:56" x14ac:dyDescent="0.3">
      <c r="D113" s="8" t="str">
        <f>D107</f>
        <v>Debt Reserve</v>
      </c>
      <c r="E113" s="11">
        <v>1107.92</v>
      </c>
      <c r="F113" s="11">
        <v>1107.92</v>
      </c>
      <c r="G113" s="11">
        <v>1107.92</v>
      </c>
      <c r="H113" s="11">
        <v>1107.92</v>
      </c>
      <c r="I113" s="11">
        <v>1107.92</v>
      </c>
      <c r="J113" s="11">
        <v>1107.92</v>
      </c>
      <c r="K113" s="11">
        <v>1107.92</v>
      </c>
      <c r="L113" s="11">
        <v>1107.92</v>
      </c>
      <c r="M113" s="11">
        <v>1107.92</v>
      </c>
      <c r="N113" s="11">
        <v>1107.92</v>
      </c>
      <c r="O113" s="11">
        <v>1107.92</v>
      </c>
      <c r="P113" s="11">
        <v>1107.92</v>
      </c>
      <c r="Q113" s="12">
        <f>SUM(E113:P113)</f>
        <v>13295.04</v>
      </c>
      <c r="R113" s="11">
        <v>1043.75</v>
      </c>
      <c r="S113" s="11">
        <v>1043.75</v>
      </c>
      <c r="T113" s="11">
        <v>1043.75</v>
      </c>
      <c r="U113" s="11">
        <v>1043.75</v>
      </c>
      <c r="V113" s="11">
        <v>1043.75</v>
      </c>
      <c r="W113" s="11">
        <v>1043.75</v>
      </c>
      <c r="X113" s="11">
        <v>1043.75</v>
      </c>
      <c r="Y113" s="11">
        <v>1043.75</v>
      </c>
      <c r="Z113" s="11">
        <v>1043.75</v>
      </c>
      <c r="AA113" s="11">
        <v>1043.75</v>
      </c>
      <c r="AB113" s="11">
        <v>1043.75</v>
      </c>
      <c r="AC113" s="11">
        <v>1043.75</v>
      </c>
      <c r="AD113" s="12">
        <f>SUM(R113:AC113)</f>
        <v>12525</v>
      </c>
      <c r="AE113" s="12">
        <v>977.08</v>
      </c>
      <c r="AF113" s="12">
        <v>977.08</v>
      </c>
      <c r="AG113" s="12">
        <v>977.08</v>
      </c>
      <c r="AH113" s="12">
        <v>977.08</v>
      </c>
      <c r="AI113" s="12">
        <v>977.08</v>
      </c>
      <c r="AJ113" s="12">
        <v>977.08</v>
      </c>
      <c r="AK113" s="12">
        <v>977.08</v>
      </c>
      <c r="AL113" s="12">
        <v>977.08</v>
      </c>
      <c r="AM113" s="12">
        <v>977.08</v>
      </c>
      <c r="AN113" s="12">
        <v>977.08</v>
      </c>
      <c r="AO113" s="12">
        <v>977.08</v>
      </c>
      <c r="AP113" s="12">
        <v>977.08</v>
      </c>
      <c r="AQ113" s="3">
        <f>SUM(AE113:AP113)</f>
        <v>11724.960000000001</v>
      </c>
      <c r="AR113" s="3">
        <v>835.42</v>
      </c>
      <c r="AS113" s="3">
        <v>835.42</v>
      </c>
      <c r="AT113" s="3">
        <v>835.42</v>
      </c>
      <c r="AU113" s="3">
        <v>835.42</v>
      </c>
      <c r="AV113" s="3">
        <v>835.42</v>
      </c>
      <c r="AW113" s="3">
        <v>835.42</v>
      </c>
      <c r="AX113" s="3">
        <v>835.42</v>
      </c>
      <c r="AY113" s="3">
        <v>835.42</v>
      </c>
      <c r="AZ113" s="3">
        <v>835.42</v>
      </c>
      <c r="BA113" s="112">
        <f>907.92+652.5</f>
        <v>1560.42</v>
      </c>
      <c r="BB113" s="3">
        <v>907.92</v>
      </c>
      <c r="BC113" s="3">
        <v>907.92</v>
      </c>
      <c r="BD113" s="3">
        <f>SUM(AR113:BC113)</f>
        <v>10895.04</v>
      </c>
    </row>
    <row r="114" spans="1:56" x14ac:dyDescent="0.3">
      <c r="D114" s="8" t="str">
        <f>D108</f>
        <v>Treasury Fee</v>
      </c>
      <c r="E114" s="11">
        <v>250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2">
        <f>SUM(E114:P114)</f>
        <v>250</v>
      </c>
      <c r="R114" s="11">
        <v>250</v>
      </c>
      <c r="AD114" s="12">
        <f>SUM(R114:AC114)</f>
        <v>250</v>
      </c>
      <c r="AE114" s="11">
        <v>250</v>
      </c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3">
        <f>SUM(AE114:AP114)</f>
        <v>250</v>
      </c>
      <c r="AR114" s="3">
        <v>250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112">
        <v>0</v>
      </c>
      <c r="BB114" s="3">
        <v>0</v>
      </c>
      <c r="BC114" s="3">
        <v>0</v>
      </c>
      <c r="BD114" s="3">
        <f>SUM(AR114:BC114)</f>
        <v>250</v>
      </c>
    </row>
    <row r="115" spans="1:56" ht="13.5" thickBot="1" x14ac:dyDescent="0.35">
      <c r="A115" t="s">
        <v>61</v>
      </c>
      <c r="D115" s="8" t="str">
        <f>D109</f>
        <v>Intercept</v>
      </c>
      <c r="E115" s="11">
        <f>61666.67+56845.83</f>
        <v>118512.5</v>
      </c>
      <c r="F115" s="11">
        <f>64166.67+54379.17</f>
        <v>118545.84</v>
      </c>
      <c r="G115" s="11">
        <f t="shared" ref="G115:R115" si="93">64166.67+54379.17</f>
        <v>118545.84</v>
      </c>
      <c r="H115" s="11">
        <f t="shared" si="93"/>
        <v>118545.84</v>
      </c>
      <c r="I115" s="11">
        <f t="shared" si="93"/>
        <v>118545.84</v>
      </c>
      <c r="J115" s="11">
        <f t="shared" si="93"/>
        <v>118545.84</v>
      </c>
      <c r="K115" s="11">
        <f t="shared" si="93"/>
        <v>118545.84</v>
      </c>
      <c r="L115" s="11">
        <f t="shared" si="93"/>
        <v>118545.84</v>
      </c>
      <c r="M115" s="11">
        <f t="shared" si="93"/>
        <v>118545.84</v>
      </c>
      <c r="N115" s="11">
        <f t="shared" si="93"/>
        <v>118545.84</v>
      </c>
      <c r="O115" s="11">
        <f t="shared" si="93"/>
        <v>118545.84</v>
      </c>
      <c r="P115" s="11">
        <f t="shared" si="93"/>
        <v>118545.84</v>
      </c>
      <c r="Q115" s="12">
        <f>SUM(E115:P115)</f>
        <v>1422516.7400000002</v>
      </c>
      <c r="R115" s="11">
        <f t="shared" si="93"/>
        <v>118545.84</v>
      </c>
      <c r="S115" s="11">
        <f>66666.67+51812.5</f>
        <v>118479.17</v>
      </c>
      <c r="T115" s="11">
        <f t="shared" ref="T115:AE115" si="94">66666.67+51812.5</f>
        <v>118479.17</v>
      </c>
      <c r="U115" s="11">
        <f t="shared" si="94"/>
        <v>118479.17</v>
      </c>
      <c r="V115" s="11">
        <f t="shared" si="94"/>
        <v>118479.17</v>
      </c>
      <c r="W115" s="11">
        <f t="shared" si="94"/>
        <v>118479.17</v>
      </c>
      <c r="X115" s="11">
        <f t="shared" si="94"/>
        <v>118479.17</v>
      </c>
      <c r="Y115" s="11">
        <f t="shared" si="94"/>
        <v>118479.17</v>
      </c>
      <c r="Z115" s="11">
        <f t="shared" si="94"/>
        <v>118479.17</v>
      </c>
      <c r="AA115" s="11">
        <f t="shared" si="94"/>
        <v>118479.17</v>
      </c>
      <c r="AB115" s="11">
        <f t="shared" si="94"/>
        <v>118479.17</v>
      </c>
      <c r="AC115" s="11">
        <f t="shared" si="94"/>
        <v>118479.17</v>
      </c>
      <c r="AD115" s="12">
        <f>SUM(R115:AC115)</f>
        <v>1421816.71</v>
      </c>
      <c r="AE115" s="11">
        <f t="shared" si="94"/>
        <v>118479.17</v>
      </c>
      <c r="AF115" s="12">
        <f>69166.67+49145.83</f>
        <v>118312.5</v>
      </c>
      <c r="AG115" s="12">
        <f t="shared" ref="AG115:AP115" si="95">69166.67+49145.83</f>
        <v>118312.5</v>
      </c>
      <c r="AH115" s="12">
        <f t="shared" si="95"/>
        <v>118312.5</v>
      </c>
      <c r="AI115" s="12">
        <f t="shared" si="95"/>
        <v>118312.5</v>
      </c>
      <c r="AJ115" s="12">
        <f t="shared" si="95"/>
        <v>118312.5</v>
      </c>
      <c r="AK115" s="12">
        <f t="shared" si="95"/>
        <v>118312.5</v>
      </c>
      <c r="AL115" s="12">
        <f t="shared" si="95"/>
        <v>118312.5</v>
      </c>
      <c r="AM115" s="12">
        <f t="shared" si="95"/>
        <v>118312.5</v>
      </c>
      <c r="AN115" s="12">
        <f t="shared" si="95"/>
        <v>118312.5</v>
      </c>
      <c r="AO115" s="12">
        <f t="shared" si="95"/>
        <v>118312.5</v>
      </c>
      <c r="AP115" s="12">
        <f t="shared" si="95"/>
        <v>118312.5</v>
      </c>
      <c r="AQ115" s="3">
        <f>SUM(AE115:AP115)</f>
        <v>1419916.67</v>
      </c>
      <c r="AR115" s="3">
        <f>72500+45395.83</f>
        <v>117895.83</v>
      </c>
      <c r="AS115" s="3">
        <f>76250+41770.83</f>
        <v>118020.83</v>
      </c>
      <c r="AT115" s="3">
        <f>76250+41770.83</f>
        <v>118020.83</v>
      </c>
      <c r="AU115" s="3">
        <f t="shared" ref="AU115:AZ115" si="96">76250+41770.83</f>
        <v>118020.83</v>
      </c>
      <c r="AV115" s="3">
        <f t="shared" si="96"/>
        <v>118020.83</v>
      </c>
      <c r="AW115" s="3">
        <f t="shared" si="96"/>
        <v>118020.83</v>
      </c>
      <c r="AX115" s="3">
        <f t="shared" si="96"/>
        <v>118020.83</v>
      </c>
      <c r="AY115" s="3">
        <f t="shared" si="96"/>
        <v>118020.83</v>
      </c>
      <c r="AZ115" s="3">
        <f t="shared" si="96"/>
        <v>118020.83</v>
      </c>
      <c r="BA115" s="114">
        <f>72500+45395.83-583.33</f>
        <v>117312.5</v>
      </c>
      <c r="BB115" s="113">
        <f t="shared" ref="BB115:BC115" si="97">72500+45395.83</f>
        <v>117895.83</v>
      </c>
      <c r="BC115" s="113">
        <f t="shared" si="97"/>
        <v>117895.83</v>
      </c>
      <c r="BD115" s="3">
        <f>SUM(AR115:BC115)</f>
        <v>1415166.6300000001</v>
      </c>
    </row>
    <row r="116" spans="1:56" ht="13.5" thickBot="1" x14ac:dyDescent="0.35">
      <c r="D116" s="13" t="s">
        <v>62</v>
      </c>
      <c r="E116" s="14">
        <f t="shared" ref="E116:P116" si="98">SUM(E113:E115)</f>
        <v>119870.42</v>
      </c>
      <c r="F116" s="14">
        <f t="shared" si="98"/>
        <v>119653.75999999999</v>
      </c>
      <c r="G116" s="14">
        <f t="shared" si="98"/>
        <v>119653.75999999999</v>
      </c>
      <c r="H116" s="14">
        <f t="shared" si="98"/>
        <v>119653.75999999999</v>
      </c>
      <c r="I116" s="14">
        <f t="shared" si="98"/>
        <v>119653.75999999999</v>
      </c>
      <c r="J116" s="14">
        <f t="shared" si="98"/>
        <v>119653.75999999999</v>
      </c>
      <c r="K116" s="14">
        <f t="shared" si="98"/>
        <v>119653.75999999999</v>
      </c>
      <c r="L116" s="14">
        <f t="shared" si="98"/>
        <v>119653.75999999999</v>
      </c>
      <c r="M116" s="14">
        <f t="shared" si="98"/>
        <v>119653.75999999999</v>
      </c>
      <c r="N116" s="14">
        <f t="shared" si="98"/>
        <v>119653.75999999999</v>
      </c>
      <c r="O116" s="14">
        <f t="shared" si="98"/>
        <v>119653.75999999999</v>
      </c>
      <c r="P116" s="14">
        <f t="shared" si="98"/>
        <v>119653.75999999999</v>
      </c>
      <c r="Q116" s="14">
        <f>SUM(Q113:Q115)</f>
        <v>1436061.7800000003</v>
      </c>
      <c r="R116" s="14">
        <f t="shared" ref="R116:AC116" si="99">SUM(R113:R115)</f>
        <v>119839.59</v>
      </c>
      <c r="S116" s="14">
        <f t="shared" si="99"/>
        <v>119522.92</v>
      </c>
      <c r="T116" s="14">
        <f t="shared" si="99"/>
        <v>119522.92</v>
      </c>
      <c r="U116" s="14">
        <f t="shared" si="99"/>
        <v>119522.92</v>
      </c>
      <c r="V116" s="14">
        <f t="shared" si="99"/>
        <v>119522.92</v>
      </c>
      <c r="W116" s="14">
        <f t="shared" si="99"/>
        <v>119522.92</v>
      </c>
      <c r="X116" s="14">
        <f t="shared" si="99"/>
        <v>119522.92</v>
      </c>
      <c r="Y116" s="14">
        <f t="shared" si="99"/>
        <v>119522.92</v>
      </c>
      <c r="Z116" s="14">
        <f t="shared" si="99"/>
        <v>119522.92</v>
      </c>
      <c r="AA116" s="14">
        <f t="shared" si="99"/>
        <v>119522.92</v>
      </c>
      <c r="AB116" s="14">
        <f t="shared" si="99"/>
        <v>119522.92</v>
      </c>
      <c r="AC116" s="14">
        <f t="shared" si="99"/>
        <v>119522.92</v>
      </c>
      <c r="AD116" s="14">
        <f>SUM(AD113:AD115)</f>
        <v>1434591.71</v>
      </c>
      <c r="AE116" s="14">
        <f>SUM(AE113:AE115)</f>
        <v>119706.25</v>
      </c>
      <c r="AF116" s="14">
        <f>SUM(AF113:AF115)</f>
        <v>119289.58</v>
      </c>
      <c r="AG116" s="14">
        <f t="shared" ref="AG116:AP116" si="100">SUM(AG113:AG115)</f>
        <v>119289.58</v>
      </c>
      <c r="AH116" s="14">
        <f t="shared" si="100"/>
        <v>119289.58</v>
      </c>
      <c r="AI116" s="14">
        <f t="shared" si="100"/>
        <v>119289.58</v>
      </c>
      <c r="AJ116" s="14">
        <f t="shared" si="100"/>
        <v>119289.58</v>
      </c>
      <c r="AK116" s="14">
        <f t="shared" si="100"/>
        <v>119289.58</v>
      </c>
      <c r="AL116" s="14">
        <f t="shared" si="100"/>
        <v>119289.58</v>
      </c>
      <c r="AM116" s="14">
        <f t="shared" si="100"/>
        <v>119289.58</v>
      </c>
      <c r="AN116" s="14">
        <f t="shared" si="100"/>
        <v>119289.58</v>
      </c>
      <c r="AO116" s="14">
        <f t="shared" si="100"/>
        <v>119289.58</v>
      </c>
      <c r="AP116" s="14">
        <f t="shared" si="100"/>
        <v>119289.58</v>
      </c>
      <c r="AQ116" s="22">
        <f>SUM(AQ113:AQ115)</f>
        <v>1431891.63</v>
      </c>
      <c r="AR116" s="22">
        <f t="shared" ref="AR116:BD116" si="101">SUM(AR113:AR115)</f>
        <v>118981.25</v>
      </c>
      <c r="AS116" s="22">
        <f t="shared" si="101"/>
        <v>118856.25</v>
      </c>
      <c r="AT116" s="22">
        <f t="shared" si="101"/>
        <v>118856.25</v>
      </c>
      <c r="AU116" s="22">
        <f t="shared" si="101"/>
        <v>118856.25</v>
      </c>
      <c r="AV116" s="22">
        <f t="shared" si="101"/>
        <v>118856.25</v>
      </c>
      <c r="AW116" s="22">
        <f t="shared" si="101"/>
        <v>118856.25</v>
      </c>
      <c r="AX116" s="22">
        <f t="shared" si="101"/>
        <v>118856.25</v>
      </c>
      <c r="AY116" s="22">
        <f t="shared" si="101"/>
        <v>118856.25</v>
      </c>
      <c r="AZ116" s="22">
        <f t="shared" si="101"/>
        <v>118856.25</v>
      </c>
      <c r="BA116" s="22">
        <f t="shared" si="101"/>
        <v>118872.92</v>
      </c>
      <c r="BB116" s="22">
        <f t="shared" si="101"/>
        <v>118803.75</v>
      </c>
      <c r="BC116" s="22">
        <f t="shared" si="101"/>
        <v>118803.75</v>
      </c>
      <c r="BD116" s="22">
        <f t="shared" si="101"/>
        <v>1426311.6700000002</v>
      </c>
    </row>
    <row r="117" spans="1:56" x14ac:dyDescent="0.3">
      <c r="D117" s="15"/>
    </row>
    <row r="118" spans="1:56" ht="15.5" x14ac:dyDescent="0.35">
      <c r="B118" s="20">
        <f>+B112+1</f>
        <v>15</v>
      </c>
      <c r="C118" s="24" t="s">
        <v>14</v>
      </c>
      <c r="D118" s="25" t="s">
        <v>63</v>
      </c>
    </row>
    <row r="119" spans="1:56" x14ac:dyDescent="0.3">
      <c r="D119" s="8" t="str">
        <f>D113</f>
        <v>Debt Reserve</v>
      </c>
      <c r="E119" s="11">
        <v>1620.42</v>
      </c>
      <c r="F119" s="11">
        <v>1620.42</v>
      </c>
      <c r="G119" s="11">
        <v>1620.42</v>
      </c>
      <c r="H119" s="11">
        <v>1620.42</v>
      </c>
      <c r="I119" s="11">
        <v>1580.83</v>
      </c>
      <c r="J119" s="11">
        <v>1580.83</v>
      </c>
      <c r="K119" s="11">
        <v>1580.83</v>
      </c>
      <c r="L119" s="11">
        <v>1580.83</v>
      </c>
      <c r="M119" s="11">
        <v>1580.83</v>
      </c>
      <c r="N119" s="11">
        <v>1580.83</v>
      </c>
      <c r="O119" s="11">
        <v>1580.83</v>
      </c>
      <c r="P119" s="11">
        <v>1580.83</v>
      </c>
      <c r="Q119" s="12">
        <f>SUM(E119:P119)</f>
        <v>19128.32</v>
      </c>
      <c r="R119" s="11">
        <v>1580.83</v>
      </c>
      <c r="S119" s="11">
        <v>1580.83</v>
      </c>
      <c r="T119" s="11">
        <v>1580.83</v>
      </c>
      <c r="U119" s="11">
        <v>1580.83</v>
      </c>
      <c r="V119" s="11">
        <v>1539.58</v>
      </c>
      <c r="W119" s="11">
        <v>1539.58</v>
      </c>
      <c r="X119" s="11">
        <v>1539.58</v>
      </c>
      <c r="Y119" s="11">
        <v>1539.58</v>
      </c>
      <c r="Z119" s="11">
        <v>1539.58</v>
      </c>
      <c r="AA119" s="11">
        <v>1539.58</v>
      </c>
      <c r="AB119" s="11">
        <v>1539.58</v>
      </c>
      <c r="AC119" s="11">
        <v>1539.58</v>
      </c>
      <c r="AD119" s="12">
        <f>SUM(R119:AC119)</f>
        <v>18639.96</v>
      </c>
      <c r="AE119" s="11">
        <v>1539.58</v>
      </c>
      <c r="AF119" s="11">
        <v>1539.58</v>
      </c>
      <c r="AG119" s="11">
        <v>1539.58</v>
      </c>
      <c r="AH119" s="11">
        <v>1539.58</v>
      </c>
      <c r="AI119" s="12">
        <v>1496.67</v>
      </c>
      <c r="AJ119" s="12">
        <v>1496.67</v>
      </c>
      <c r="AK119" s="12">
        <v>1496.67</v>
      </c>
      <c r="AL119" s="12">
        <v>1496.67</v>
      </c>
      <c r="AM119" s="12">
        <v>1496.67</v>
      </c>
      <c r="AN119" s="12">
        <v>1496.67</v>
      </c>
      <c r="AO119" s="12">
        <v>1496.67</v>
      </c>
      <c r="AP119" s="12">
        <v>1496.67</v>
      </c>
      <c r="AQ119" s="3">
        <f>SUM(AE119:AP119)</f>
        <v>18131.68</v>
      </c>
      <c r="AR119" s="3">
        <v>1496.67</v>
      </c>
      <c r="AS119" s="3">
        <v>1496.67</v>
      </c>
      <c r="AT119" s="3">
        <v>1496.67</v>
      </c>
      <c r="AU119" s="3">
        <v>1496.67</v>
      </c>
      <c r="AV119" s="3">
        <v>1452.08</v>
      </c>
      <c r="AW119" s="3">
        <v>1452.08</v>
      </c>
      <c r="AX119" s="3">
        <v>1452.08</v>
      </c>
      <c r="AY119" s="3">
        <v>1452.08</v>
      </c>
      <c r="AZ119" s="3">
        <v>1452.08</v>
      </c>
      <c r="BA119" s="3">
        <v>1452.08</v>
      </c>
      <c r="BB119" s="3">
        <v>1452.08</v>
      </c>
      <c r="BC119" s="3">
        <v>1452.08</v>
      </c>
      <c r="BD119" s="3">
        <f>SUM(AR119:BC119)</f>
        <v>17603.32</v>
      </c>
    </row>
    <row r="120" spans="1:56" x14ac:dyDescent="0.3">
      <c r="D120" s="8" t="str">
        <f>D114</f>
        <v>Treasury Fee</v>
      </c>
      <c r="E120" s="11">
        <v>250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2">
        <f>SUM(E120:P120)</f>
        <v>250</v>
      </c>
      <c r="R120" s="11">
        <v>250</v>
      </c>
      <c r="AD120" s="12">
        <f>SUM(R120:AC120)</f>
        <v>250</v>
      </c>
      <c r="AE120" s="11">
        <v>250</v>
      </c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3">
        <f>SUM(AE120:AP120)</f>
        <v>250</v>
      </c>
      <c r="AR120" s="3">
        <v>250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f>SUM(AR120:BC120)</f>
        <v>250</v>
      </c>
    </row>
    <row r="121" spans="1:56" ht="13.5" thickBot="1" x14ac:dyDescent="0.35">
      <c r="A121" t="s">
        <v>64</v>
      </c>
      <c r="D121" s="8" t="str">
        <f>D115</f>
        <v>Intercept</v>
      </c>
      <c r="E121" s="11">
        <f>39583.33+68998.96</f>
        <v>108582.29000000001</v>
      </c>
      <c r="F121" s="11">
        <f>39583.33+68998.96</f>
        <v>108582.29000000001</v>
      </c>
      <c r="G121" s="11">
        <f>39583.33+68998.96</f>
        <v>108582.29000000001</v>
      </c>
      <c r="H121" s="11">
        <f>39583.37+68998.95</f>
        <v>108582.32</v>
      </c>
      <c r="I121" s="11">
        <f>41250+67415.63</f>
        <v>108665.63</v>
      </c>
      <c r="J121" s="11">
        <f t="shared" ref="J121:T121" si="102">41250+67415.63</f>
        <v>108665.63</v>
      </c>
      <c r="K121" s="11">
        <f t="shared" si="102"/>
        <v>108665.63</v>
      </c>
      <c r="L121" s="11">
        <f t="shared" si="102"/>
        <v>108665.63</v>
      </c>
      <c r="M121" s="11">
        <f t="shared" si="102"/>
        <v>108665.63</v>
      </c>
      <c r="N121" s="11">
        <f>41250+67415.6</f>
        <v>108665.60000000001</v>
      </c>
      <c r="O121" s="11">
        <f t="shared" si="102"/>
        <v>108665.63</v>
      </c>
      <c r="P121" s="11">
        <f t="shared" si="102"/>
        <v>108665.63</v>
      </c>
      <c r="Q121" s="12">
        <f>SUM(E121:P121)</f>
        <v>1303654.2000000002</v>
      </c>
      <c r="R121" s="11">
        <f t="shared" si="102"/>
        <v>108665.63</v>
      </c>
      <c r="S121" s="11">
        <f t="shared" si="102"/>
        <v>108665.63</v>
      </c>
      <c r="T121" s="11">
        <f t="shared" si="102"/>
        <v>108665.63</v>
      </c>
      <c r="U121" s="11">
        <f>41250+67415.6</f>
        <v>108665.60000000001</v>
      </c>
      <c r="V121" s="11">
        <f>42916.67+65765.63</f>
        <v>108682.3</v>
      </c>
      <c r="W121" s="11">
        <f t="shared" ref="W121:AG121" si="103">42916.67+65765.63</f>
        <v>108682.3</v>
      </c>
      <c r="X121" s="11">
        <f t="shared" si="103"/>
        <v>108682.3</v>
      </c>
      <c r="Y121" s="11">
        <f t="shared" si="103"/>
        <v>108682.3</v>
      </c>
      <c r="Z121" s="11">
        <f t="shared" si="103"/>
        <v>108682.3</v>
      </c>
      <c r="AA121" s="11">
        <f>42916.67+65765.6</f>
        <v>108682.27</v>
      </c>
      <c r="AB121" s="11">
        <f t="shared" si="103"/>
        <v>108682.3</v>
      </c>
      <c r="AC121" s="11">
        <f t="shared" si="103"/>
        <v>108682.3</v>
      </c>
      <c r="AD121" s="12">
        <f>SUM(R121:AC121)</f>
        <v>1304120.8600000003</v>
      </c>
      <c r="AE121" s="11">
        <f t="shared" si="103"/>
        <v>108682.3</v>
      </c>
      <c r="AF121" s="11">
        <f t="shared" si="103"/>
        <v>108682.3</v>
      </c>
      <c r="AG121" s="11">
        <f t="shared" si="103"/>
        <v>108682.3</v>
      </c>
      <c r="AH121" s="11">
        <f>42916.63+65765.6</f>
        <v>108682.23000000001</v>
      </c>
      <c r="AI121" s="12">
        <f>44583.33+64048.96</f>
        <v>108632.29000000001</v>
      </c>
      <c r="AJ121" s="12">
        <f t="shared" ref="AJ121:AP121" si="104">44583.33+64048.96</f>
        <v>108632.29000000001</v>
      </c>
      <c r="AK121" s="12">
        <f t="shared" si="104"/>
        <v>108632.29000000001</v>
      </c>
      <c r="AL121" s="12">
        <f t="shared" si="104"/>
        <v>108632.29000000001</v>
      </c>
      <c r="AM121" s="12">
        <f t="shared" si="104"/>
        <v>108632.29000000001</v>
      </c>
      <c r="AN121" s="12">
        <f>44583.33+64048.95</f>
        <v>108632.28</v>
      </c>
      <c r="AO121" s="12">
        <f t="shared" si="104"/>
        <v>108632.29000000001</v>
      </c>
      <c r="AP121" s="12">
        <f t="shared" si="104"/>
        <v>108632.29000000001</v>
      </c>
      <c r="AQ121" s="3">
        <f>SUM(AE121:AP121)</f>
        <v>1303787.4400000002</v>
      </c>
      <c r="AR121" s="3">
        <f>44583.33+64048.96</f>
        <v>108632.29000000001</v>
      </c>
      <c r="AS121" s="3">
        <f>44583.33+64048.96</f>
        <v>108632.29000000001</v>
      </c>
      <c r="AT121" s="3">
        <f>44583.33+64048.96</f>
        <v>108632.29000000001</v>
      </c>
      <c r="AU121" s="3">
        <f>44583.37+64048.95</f>
        <v>108632.32000000001</v>
      </c>
      <c r="AV121" s="3">
        <f>46666.67+61819.79</f>
        <v>108486.45999999999</v>
      </c>
      <c r="AW121" s="3">
        <f>46666.67+61819.79</f>
        <v>108486.45999999999</v>
      </c>
      <c r="AX121" s="3">
        <f>46666.67+61819.79</f>
        <v>108486.45999999999</v>
      </c>
      <c r="AY121" s="3">
        <f>46666.67+61819.79</f>
        <v>108486.45999999999</v>
      </c>
      <c r="AZ121" s="3">
        <f>46666.67+61819.79</f>
        <v>108486.45999999999</v>
      </c>
      <c r="BA121" s="3">
        <f>46666.67+61819.8</f>
        <v>108486.47</v>
      </c>
      <c r="BB121" s="3">
        <f>46666.67+61819.79</f>
        <v>108486.45999999999</v>
      </c>
      <c r="BC121" s="3">
        <f>46666.67+61819.79</f>
        <v>108486.45999999999</v>
      </c>
      <c r="BD121" s="3">
        <f>SUM(AR121:BC121)</f>
        <v>1302420.8799999999</v>
      </c>
    </row>
    <row r="122" spans="1:56" ht="13.5" thickBot="1" x14ac:dyDescent="0.35">
      <c r="D122" s="13" t="s">
        <v>29</v>
      </c>
      <c r="E122" s="14">
        <f t="shared" ref="E122:P122" si="105">SUM(E119:E121)</f>
        <v>110452.71</v>
      </c>
      <c r="F122" s="14">
        <f t="shared" si="105"/>
        <v>110202.71</v>
      </c>
      <c r="G122" s="14">
        <f t="shared" si="105"/>
        <v>110202.71</v>
      </c>
      <c r="H122" s="14">
        <f t="shared" si="105"/>
        <v>110202.74</v>
      </c>
      <c r="I122" s="14">
        <f t="shared" si="105"/>
        <v>110246.46</v>
      </c>
      <c r="J122" s="14">
        <f t="shared" si="105"/>
        <v>110246.46</v>
      </c>
      <c r="K122" s="14">
        <f t="shared" si="105"/>
        <v>110246.46</v>
      </c>
      <c r="L122" s="14">
        <f t="shared" si="105"/>
        <v>110246.46</v>
      </c>
      <c r="M122" s="14">
        <f t="shared" si="105"/>
        <v>110246.46</v>
      </c>
      <c r="N122" s="14">
        <f t="shared" si="105"/>
        <v>110246.43000000001</v>
      </c>
      <c r="O122" s="14">
        <f t="shared" si="105"/>
        <v>110246.46</v>
      </c>
      <c r="P122" s="14">
        <f t="shared" si="105"/>
        <v>110246.46</v>
      </c>
      <c r="Q122" s="14">
        <f>SUM(Q119:Q121)</f>
        <v>1323032.5200000003</v>
      </c>
      <c r="R122" s="14">
        <f t="shared" ref="R122:AC122" si="106">SUM(R119:R121)</f>
        <v>110496.46</v>
      </c>
      <c r="S122" s="14">
        <f t="shared" si="106"/>
        <v>110246.46</v>
      </c>
      <c r="T122" s="14">
        <f t="shared" si="106"/>
        <v>110246.46</v>
      </c>
      <c r="U122" s="14">
        <f t="shared" si="106"/>
        <v>110246.43000000001</v>
      </c>
      <c r="V122" s="14">
        <f t="shared" si="106"/>
        <v>110221.88</v>
      </c>
      <c r="W122" s="14">
        <f t="shared" si="106"/>
        <v>110221.88</v>
      </c>
      <c r="X122" s="14">
        <f t="shared" si="106"/>
        <v>110221.88</v>
      </c>
      <c r="Y122" s="14">
        <f t="shared" si="106"/>
        <v>110221.88</v>
      </c>
      <c r="Z122" s="14">
        <f t="shared" si="106"/>
        <v>110221.88</v>
      </c>
      <c r="AA122" s="14">
        <f t="shared" si="106"/>
        <v>110221.85</v>
      </c>
      <c r="AB122" s="14">
        <f t="shared" si="106"/>
        <v>110221.88</v>
      </c>
      <c r="AC122" s="14">
        <f t="shared" si="106"/>
        <v>110221.88</v>
      </c>
      <c r="AD122" s="14">
        <f>SUM(AD119:AD121)</f>
        <v>1323010.8200000003</v>
      </c>
      <c r="AE122" s="14">
        <f>SUM(AE119:AE121)</f>
        <v>110471.88</v>
      </c>
      <c r="AF122" s="14">
        <f>SUM(AF119:AF121)</f>
        <v>110221.88</v>
      </c>
      <c r="AG122" s="14">
        <f t="shared" ref="AG122:AP122" si="107">SUM(AG119:AG121)</f>
        <v>110221.88</v>
      </c>
      <c r="AH122" s="14">
        <f t="shared" si="107"/>
        <v>110221.81000000001</v>
      </c>
      <c r="AI122" s="14">
        <f t="shared" si="107"/>
        <v>110128.96000000001</v>
      </c>
      <c r="AJ122" s="14">
        <f t="shared" si="107"/>
        <v>110128.96000000001</v>
      </c>
      <c r="AK122" s="14">
        <f t="shared" si="107"/>
        <v>110128.96000000001</v>
      </c>
      <c r="AL122" s="14">
        <f t="shared" si="107"/>
        <v>110128.96000000001</v>
      </c>
      <c r="AM122" s="14">
        <f t="shared" si="107"/>
        <v>110128.96000000001</v>
      </c>
      <c r="AN122" s="14">
        <f t="shared" si="107"/>
        <v>110128.95</v>
      </c>
      <c r="AO122" s="14">
        <f t="shared" si="107"/>
        <v>110128.96000000001</v>
      </c>
      <c r="AP122" s="14">
        <f t="shared" si="107"/>
        <v>110128.96000000001</v>
      </c>
      <c r="AQ122" s="22">
        <f>SUM(AQ119:AQ121)</f>
        <v>1322169.1200000001</v>
      </c>
      <c r="AR122" s="22">
        <f t="shared" ref="AR122:BD122" si="108">SUM(AR119:AR121)</f>
        <v>110378.96</v>
      </c>
      <c r="AS122" s="22">
        <f t="shared" si="108"/>
        <v>110128.96000000001</v>
      </c>
      <c r="AT122" s="22">
        <f t="shared" si="108"/>
        <v>110128.96000000001</v>
      </c>
      <c r="AU122" s="22">
        <f t="shared" si="108"/>
        <v>110128.99</v>
      </c>
      <c r="AV122" s="22">
        <f t="shared" si="108"/>
        <v>109938.54</v>
      </c>
      <c r="AW122" s="22">
        <f t="shared" si="108"/>
        <v>109938.54</v>
      </c>
      <c r="AX122" s="22">
        <f t="shared" si="108"/>
        <v>109938.54</v>
      </c>
      <c r="AY122" s="22">
        <f t="shared" si="108"/>
        <v>109938.54</v>
      </c>
      <c r="AZ122" s="22">
        <f t="shared" si="108"/>
        <v>109938.54</v>
      </c>
      <c r="BA122" s="22">
        <f t="shared" si="108"/>
        <v>109938.55</v>
      </c>
      <c r="BB122" s="22">
        <f t="shared" si="108"/>
        <v>109938.54</v>
      </c>
      <c r="BC122" s="22">
        <f t="shared" si="108"/>
        <v>109938.54</v>
      </c>
      <c r="BD122" s="22">
        <f t="shared" si="108"/>
        <v>1320274.2</v>
      </c>
    </row>
    <row r="123" spans="1:56" x14ac:dyDescent="0.3">
      <c r="D123" s="15"/>
    </row>
    <row r="124" spans="1:56" ht="15.5" x14ac:dyDescent="0.35">
      <c r="B124" s="20">
        <f>+B118+1</f>
        <v>16</v>
      </c>
      <c r="C124" s="1" t="s">
        <v>14</v>
      </c>
      <c r="D124" s="25" t="s">
        <v>65</v>
      </c>
    </row>
    <row r="125" spans="1:56" x14ac:dyDescent="0.3">
      <c r="D125" s="8" t="s">
        <v>8</v>
      </c>
      <c r="E125" s="11">
        <v>2569.58</v>
      </c>
      <c r="F125" s="11">
        <v>2569.58</v>
      </c>
      <c r="G125" s="11">
        <v>2569.58</v>
      </c>
      <c r="H125" s="11">
        <v>2569.58</v>
      </c>
      <c r="I125" s="11">
        <v>2569.58</v>
      </c>
      <c r="J125" s="11">
        <v>2569.58</v>
      </c>
      <c r="K125" s="11">
        <v>2481.25</v>
      </c>
      <c r="L125" s="11">
        <v>2481.25</v>
      </c>
      <c r="M125" s="11">
        <v>2481.25</v>
      </c>
      <c r="N125" s="11">
        <v>2481.25</v>
      </c>
      <c r="O125" s="11">
        <v>2481.25</v>
      </c>
      <c r="P125" s="11">
        <v>2481.25</v>
      </c>
      <c r="Q125" s="12">
        <f>SUM(E125:P125)</f>
        <v>30304.98</v>
      </c>
      <c r="R125" s="11">
        <v>2481.25</v>
      </c>
      <c r="S125" s="11">
        <v>2481.25</v>
      </c>
      <c r="T125" s="11">
        <v>2481.25</v>
      </c>
      <c r="U125" s="11">
        <v>2481.25</v>
      </c>
      <c r="V125" s="11">
        <v>2481.25</v>
      </c>
      <c r="W125" s="11">
        <v>2481.25</v>
      </c>
      <c r="X125" s="11">
        <v>2389.17</v>
      </c>
      <c r="Y125" s="11">
        <v>2389.17</v>
      </c>
      <c r="Z125" s="11">
        <v>2389.17</v>
      </c>
      <c r="AA125" s="11">
        <v>2389.17</v>
      </c>
      <c r="AB125" s="11">
        <v>2389.17</v>
      </c>
      <c r="AC125" s="11">
        <v>2389.17</v>
      </c>
      <c r="AD125" s="12">
        <f>SUM(R125:AC125)</f>
        <v>29222.51999999999</v>
      </c>
      <c r="AE125" s="11">
        <v>2389.17</v>
      </c>
      <c r="AF125" s="11">
        <v>2389.17</v>
      </c>
      <c r="AG125" s="11">
        <v>2389.17</v>
      </c>
      <c r="AH125" s="11">
        <v>2389.17</v>
      </c>
      <c r="AI125" s="11">
        <v>2389.17</v>
      </c>
      <c r="AJ125" s="11">
        <v>2389.17</v>
      </c>
      <c r="AK125" s="12">
        <v>2293.33</v>
      </c>
      <c r="AL125" s="12">
        <v>2293.33</v>
      </c>
      <c r="AM125" s="12">
        <v>2293.33</v>
      </c>
      <c r="AN125" s="12">
        <v>2293.33</v>
      </c>
      <c r="AO125" s="12">
        <v>2293.33</v>
      </c>
      <c r="AP125" s="12">
        <v>2293.33</v>
      </c>
      <c r="AQ125" s="3">
        <f>SUM(AE125:AP125)</f>
        <v>28095.000000000007</v>
      </c>
      <c r="AR125" s="3">
        <v>2293.33</v>
      </c>
      <c r="AS125" s="3">
        <v>2293.33</v>
      </c>
      <c r="AT125" s="3">
        <v>2293.33</v>
      </c>
      <c r="AU125" s="3">
        <v>2293.33</v>
      </c>
      <c r="AV125" s="3">
        <v>2293.33</v>
      </c>
      <c r="AW125" s="3">
        <v>2293.33</v>
      </c>
      <c r="AX125" s="3">
        <v>2193.75</v>
      </c>
      <c r="AY125" s="3">
        <v>2193.75</v>
      </c>
      <c r="AZ125" s="3">
        <v>2193.75</v>
      </c>
      <c r="BA125" s="3">
        <v>2193.75</v>
      </c>
      <c r="BB125" s="3">
        <v>2193.75</v>
      </c>
      <c r="BC125" s="3">
        <v>2193.75</v>
      </c>
      <c r="BD125" s="3">
        <f>SUM(AR125:BC125)</f>
        <v>26922.48</v>
      </c>
    </row>
    <row r="126" spans="1:56" x14ac:dyDescent="0.3">
      <c r="D126" s="8" t="s">
        <v>9</v>
      </c>
      <c r="E126" s="11">
        <v>250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2">
        <f>SUM(E126:P126)</f>
        <v>250</v>
      </c>
      <c r="R126" s="11">
        <v>250</v>
      </c>
      <c r="AD126" s="12">
        <f>SUM(R126:AC126)</f>
        <v>250</v>
      </c>
      <c r="AE126" s="11">
        <v>250</v>
      </c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3">
        <f>SUM(AE126:AP126)</f>
        <v>250</v>
      </c>
      <c r="AR126" s="3">
        <v>250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f>SUM(AR126:BC126)</f>
        <v>250</v>
      </c>
    </row>
    <row r="127" spans="1:56" ht="13.5" thickBot="1" x14ac:dyDescent="0.35">
      <c r="A127" t="s">
        <v>66</v>
      </c>
      <c r="D127" s="8" t="s">
        <v>10</v>
      </c>
      <c r="E127" s="11">
        <f>88333.33+111464.58</f>
        <v>199797.91</v>
      </c>
      <c r="F127" s="11">
        <f>88333.33+111464.58</f>
        <v>199797.91</v>
      </c>
      <c r="G127" s="11">
        <f>88333.33+111464.58</f>
        <v>199797.91</v>
      </c>
      <c r="H127" s="11">
        <f>88333.33+111464.58</f>
        <v>199797.91</v>
      </c>
      <c r="I127" s="11">
        <f>88333.37+111464.6</f>
        <v>199797.97</v>
      </c>
      <c r="J127" s="11">
        <f>92083.33+107931.25</f>
        <v>200014.58000000002</v>
      </c>
      <c r="K127" s="11">
        <f t="shared" ref="K127:U127" si="109">92083.33+107931.25</f>
        <v>200014.58000000002</v>
      </c>
      <c r="L127" s="11">
        <f t="shared" si="109"/>
        <v>200014.58000000002</v>
      </c>
      <c r="M127" s="11">
        <f t="shared" si="109"/>
        <v>200014.58000000002</v>
      </c>
      <c r="N127" s="11">
        <f t="shared" si="109"/>
        <v>200014.58000000002</v>
      </c>
      <c r="O127" s="11">
        <f t="shared" si="109"/>
        <v>200014.58000000002</v>
      </c>
      <c r="P127" s="11">
        <f t="shared" si="109"/>
        <v>200014.58000000002</v>
      </c>
      <c r="Q127" s="12">
        <f>SUM(E127:P127)</f>
        <v>2399091.6700000004</v>
      </c>
      <c r="R127" s="11">
        <f t="shared" si="109"/>
        <v>200014.58000000002</v>
      </c>
      <c r="S127" s="11">
        <f t="shared" si="109"/>
        <v>200014.58000000002</v>
      </c>
      <c r="T127" s="11">
        <f t="shared" si="109"/>
        <v>200014.58000000002</v>
      </c>
      <c r="U127" s="11">
        <f t="shared" si="109"/>
        <v>200014.58000000002</v>
      </c>
      <c r="V127" s="11">
        <f>92083.37+107931.25</f>
        <v>200014.62</v>
      </c>
      <c r="W127" s="11">
        <f>95833.33+104247.92</f>
        <v>200081.25</v>
      </c>
      <c r="X127" s="11">
        <f t="shared" ref="X127:AH127" si="110">95833.33+104247.92</f>
        <v>200081.25</v>
      </c>
      <c r="Y127" s="11">
        <f t="shared" si="110"/>
        <v>200081.25</v>
      </c>
      <c r="Z127" s="11">
        <f t="shared" si="110"/>
        <v>200081.25</v>
      </c>
      <c r="AA127" s="11">
        <f t="shared" si="110"/>
        <v>200081.25</v>
      </c>
      <c r="AB127" s="11">
        <f>95833.33+104247.9</f>
        <v>200081.22999999998</v>
      </c>
      <c r="AC127" s="11">
        <f t="shared" si="110"/>
        <v>200081.25</v>
      </c>
      <c r="AD127" s="12">
        <f>SUM(R127:AC127)</f>
        <v>2400641.67</v>
      </c>
      <c r="AE127" s="11">
        <f t="shared" si="110"/>
        <v>200081.25</v>
      </c>
      <c r="AF127" s="11">
        <f t="shared" si="110"/>
        <v>200081.25</v>
      </c>
      <c r="AG127" s="11">
        <f t="shared" si="110"/>
        <v>200081.25</v>
      </c>
      <c r="AH127" s="11">
        <f t="shared" si="110"/>
        <v>200081.25</v>
      </c>
      <c r="AI127" s="11">
        <f>95833.37+104247.9</f>
        <v>200081.27</v>
      </c>
      <c r="AJ127" s="12">
        <f>99583.33+100414.58</f>
        <v>199997.91</v>
      </c>
      <c r="AK127" s="12">
        <f t="shared" ref="AK127:AP127" si="111">99583.33+100414.58</f>
        <v>199997.91</v>
      </c>
      <c r="AL127" s="12">
        <f t="shared" si="111"/>
        <v>199997.91</v>
      </c>
      <c r="AM127" s="12">
        <f t="shared" si="111"/>
        <v>199997.91</v>
      </c>
      <c r="AN127" s="12">
        <f t="shared" si="111"/>
        <v>199997.91</v>
      </c>
      <c r="AO127" s="12">
        <f>99583.33+100414.6</f>
        <v>199997.93</v>
      </c>
      <c r="AP127" s="12">
        <f t="shared" si="111"/>
        <v>199997.91</v>
      </c>
      <c r="AQ127" s="3">
        <f>SUM(AE127:AP127)</f>
        <v>2400391.6599999997</v>
      </c>
      <c r="AR127" s="3">
        <f>99583.33+100414.58</f>
        <v>199997.91</v>
      </c>
      <c r="AS127" s="3">
        <f>99583.33+100414.58</f>
        <v>199997.91</v>
      </c>
      <c r="AT127" s="3">
        <f>99583.33+100414.58</f>
        <v>199997.91</v>
      </c>
      <c r="AU127" s="3">
        <f>99583.33+100414.58</f>
        <v>199997.91</v>
      </c>
      <c r="AV127" s="3">
        <f>99583.37+100414.6</f>
        <v>199997.97</v>
      </c>
      <c r="AW127" s="3">
        <f>104583.33+95435.42</f>
        <v>200018.75</v>
      </c>
      <c r="AX127" s="3">
        <f>104583.33+95435.42</f>
        <v>200018.75</v>
      </c>
      <c r="AY127" s="3">
        <f>104583.33+95435.42</f>
        <v>200018.75</v>
      </c>
      <c r="AZ127" s="3">
        <f>104583.33+95435.42</f>
        <v>200018.75</v>
      </c>
      <c r="BA127" s="3">
        <f>104583.33+95435.42</f>
        <v>200018.75</v>
      </c>
      <c r="BB127" s="3">
        <f>104583.33+95435.4</f>
        <v>200018.72999999998</v>
      </c>
      <c r="BC127" s="3">
        <f>104583.33+95435.42</f>
        <v>200018.75</v>
      </c>
      <c r="BD127" s="3">
        <f>SUM(AR127:BC127)</f>
        <v>2400120.84</v>
      </c>
    </row>
    <row r="128" spans="1:56" ht="13.5" thickBot="1" x14ac:dyDescent="0.35">
      <c r="D128" s="13" t="s">
        <v>67</v>
      </c>
      <c r="E128" s="14">
        <f t="shared" ref="E128:P128" si="112">SUM(E125:E127)</f>
        <v>202617.49</v>
      </c>
      <c r="F128" s="14">
        <f t="shared" si="112"/>
        <v>202367.49</v>
      </c>
      <c r="G128" s="14">
        <f t="shared" si="112"/>
        <v>202367.49</v>
      </c>
      <c r="H128" s="14">
        <f t="shared" si="112"/>
        <v>202367.49</v>
      </c>
      <c r="I128" s="14">
        <f t="shared" si="112"/>
        <v>202367.55</v>
      </c>
      <c r="J128" s="14">
        <f t="shared" si="112"/>
        <v>202584.16</v>
      </c>
      <c r="K128" s="14">
        <f t="shared" si="112"/>
        <v>202495.83000000002</v>
      </c>
      <c r="L128" s="14">
        <f t="shared" si="112"/>
        <v>202495.83000000002</v>
      </c>
      <c r="M128" s="14">
        <f t="shared" si="112"/>
        <v>202495.83000000002</v>
      </c>
      <c r="N128" s="14">
        <f t="shared" si="112"/>
        <v>202495.83000000002</v>
      </c>
      <c r="O128" s="14">
        <f t="shared" si="112"/>
        <v>202495.83000000002</v>
      </c>
      <c r="P128" s="14">
        <f t="shared" si="112"/>
        <v>202495.83000000002</v>
      </c>
      <c r="Q128" s="14">
        <f>SUM(Q125:Q127)</f>
        <v>2429646.6500000004</v>
      </c>
      <c r="R128" s="14">
        <f t="shared" ref="R128:AC128" si="113">SUM(R125:R127)</f>
        <v>202745.83000000002</v>
      </c>
      <c r="S128" s="14">
        <f t="shared" si="113"/>
        <v>202495.83000000002</v>
      </c>
      <c r="T128" s="14">
        <f t="shared" si="113"/>
        <v>202495.83000000002</v>
      </c>
      <c r="U128" s="14">
        <f t="shared" si="113"/>
        <v>202495.83000000002</v>
      </c>
      <c r="V128" s="14">
        <f t="shared" si="113"/>
        <v>202495.87</v>
      </c>
      <c r="W128" s="14">
        <f t="shared" si="113"/>
        <v>202562.5</v>
      </c>
      <c r="X128" s="14">
        <f t="shared" si="113"/>
        <v>202470.42</v>
      </c>
      <c r="Y128" s="14">
        <f t="shared" si="113"/>
        <v>202470.42</v>
      </c>
      <c r="Z128" s="14">
        <f t="shared" si="113"/>
        <v>202470.42</v>
      </c>
      <c r="AA128" s="14">
        <f t="shared" si="113"/>
        <v>202470.42</v>
      </c>
      <c r="AB128" s="14">
        <f t="shared" si="113"/>
        <v>202470.39999999999</v>
      </c>
      <c r="AC128" s="14">
        <f t="shared" si="113"/>
        <v>202470.42</v>
      </c>
      <c r="AD128" s="14">
        <f>SUM(AD125:AD127)</f>
        <v>2430114.19</v>
      </c>
      <c r="AE128" s="14">
        <f>SUM(AE125:AE127)</f>
        <v>202720.42</v>
      </c>
      <c r="AF128" s="14">
        <f>SUM(AF125:AF127)</f>
        <v>202470.42</v>
      </c>
      <c r="AG128" s="14">
        <f t="shared" ref="AG128:AP128" si="114">SUM(AG125:AG127)</f>
        <v>202470.42</v>
      </c>
      <c r="AH128" s="14">
        <f t="shared" si="114"/>
        <v>202470.42</v>
      </c>
      <c r="AI128" s="14">
        <f t="shared" si="114"/>
        <v>202470.44</v>
      </c>
      <c r="AJ128" s="14">
        <f t="shared" si="114"/>
        <v>202387.08000000002</v>
      </c>
      <c r="AK128" s="14">
        <f t="shared" si="114"/>
        <v>202291.24</v>
      </c>
      <c r="AL128" s="14">
        <f t="shared" si="114"/>
        <v>202291.24</v>
      </c>
      <c r="AM128" s="14">
        <f t="shared" si="114"/>
        <v>202291.24</v>
      </c>
      <c r="AN128" s="14">
        <f t="shared" si="114"/>
        <v>202291.24</v>
      </c>
      <c r="AO128" s="14">
        <f t="shared" si="114"/>
        <v>202291.25999999998</v>
      </c>
      <c r="AP128" s="14">
        <f t="shared" si="114"/>
        <v>202291.24</v>
      </c>
      <c r="AQ128" s="22">
        <f>SUM(AQ125:AQ127)</f>
        <v>2428736.6599999997</v>
      </c>
      <c r="AR128" s="22">
        <f>SUM(AR125:AR127)</f>
        <v>202541.24</v>
      </c>
      <c r="AS128" s="22">
        <f t="shared" ref="AS128:BC128" si="115">SUM(AS125:AS127)</f>
        <v>202291.24</v>
      </c>
      <c r="AT128" s="22">
        <f t="shared" si="115"/>
        <v>202291.24</v>
      </c>
      <c r="AU128" s="22">
        <f t="shared" si="115"/>
        <v>202291.24</v>
      </c>
      <c r="AV128" s="22">
        <f t="shared" si="115"/>
        <v>202291.3</v>
      </c>
      <c r="AW128" s="22">
        <f t="shared" si="115"/>
        <v>202312.08</v>
      </c>
      <c r="AX128" s="22">
        <f t="shared" si="115"/>
        <v>202212.5</v>
      </c>
      <c r="AY128" s="22">
        <f t="shared" si="115"/>
        <v>202212.5</v>
      </c>
      <c r="AZ128" s="22">
        <f t="shared" si="115"/>
        <v>202212.5</v>
      </c>
      <c r="BA128" s="22">
        <f t="shared" si="115"/>
        <v>202212.5</v>
      </c>
      <c r="BB128" s="22">
        <f t="shared" si="115"/>
        <v>202212.47999999998</v>
      </c>
      <c r="BC128" s="22">
        <f t="shared" si="115"/>
        <v>202212.5</v>
      </c>
      <c r="BD128" s="22">
        <f>SUM(BD125:BD127)</f>
        <v>2427293.3199999998</v>
      </c>
    </row>
    <row r="129" spans="1:56" x14ac:dyDescent="0.3">
      <c r="D129" s="15"/>
    </row>
    <row r="130" spans="1:56" ht="15.5" x14ac:dyDescent="0.35">
      <c r="B130" s="20">
        <f>+B124+1</f>
        <v>17</v>
      </c>
      <c r="C130" s="1" t="s">
        <v>14</v>
      </c>
      <c r="D130" s="25" t="s">
        <v>68</v>
      </c>
    </row>
    <row r="131" spans="1:56" x14ac:dyDescent="0.3">
      <c r="D131" s="8" t="s">
        <v>8</v>
      </c>
      <c r="E131" s="11">
        <v>429.17</v>
      </c>
      <c r="F131" s="11">
        <v>429.17</v>
      </c>
      <c r="G131" s="11">
        <v>429.17</v>
      </c>
      <c r="H131" s="11">
        <v>429.17</v>
      </c>
      <c r="I131" s="11">
        <v>418.33</v>
      </c>
      <c r="J131" s="11">
        <v>418.33</v>
      </c>
      <c r="K131" s="11">
        <v>418.33</v>
      </c>
      <c r="L131" s="11">
        <v>418.33</v>
      </c>
      <c r="M131" s="11">
        <v>418.33</v>
      </c>
      <c r="N131" s="11">
        <v>418.33</v>
      </c>
      <c r="O131" s="11">
        <v>418.33</v>
      </c>
      <c r="P131" s="11">
        <v>418.33</v>
      </c>
      <c r="Q131" s="12">
        <f>SUM(E131:P131)</f>
        <v>5063.32</v>
      </c>
      <c r="R131" s="11">
        <v>418.33</v>
      </c>
      <c r="S131" s="11">
        <v>418.33</v>
      </c>
      <c r="T131" s="11">
        <v>418.33</v>
      </c>
      <c r="U131" s="11">
        <v>418.33</v>
      </c>
      <c r="V131" s="11">
        <v>407.08</v>
      </c>
      <c r="W131" s="11">
        <v>407.08</v>
      </c>
      <c r="X131" s="11">
        <v>407.08</v>
      </c>
      <c r="Y131" s="11">
        <v>407.08</v>
      </c>
      <c r="Z131" s="11">
        <v>407.08</v>
      </c>
      <c r="AA131" s="11">
        <v>407.08</v>
      </c>
      <c r="AB131" s="11">
        <v>407.08</v>
      </c>
      <c r="AC131" s="11">
        <v>407.08</v>
      </c>
      <c r="AD131" s="12">
        <f>SUM(R131:AC131)</f>
        <v>4929.96</v>
      </c>
      <c r="AE131" s="11">
        <v>407.08</v>
      </c>
      <c r="AF131" s="11">
        <v>407.08</v>
      </c>
      <c r="AG131" s="11">
        <v>407.08</v>
      </c>
      <c r="AH131" s="11">
        <v>407.08</v>
      </c>
      <c r="AI131" s="12">
        <v>395.42</v>
      </c>
      <c r="AJ131" s="12">
        <v>395.42</v>
      </c>
      <c r="AK131" s="12">
        <v>395.42</v>
      </c>
      <c r="AL131" s="12">
        <v>395.42</v>
      </c>
      <c r="AM131" s="12">
        <v>395.42</v>
      </c>
      <c r="AN131" s="12">
        <v>395.42</v>
      </c>
      <c r="AO131" s="12">
        <v>395.42</v>
      </c>
      <c r="AP131" s="12">
        <v>395.42</v>
      </c>
      <c r="AQ131" s="3">
        <f>SUM(AE131:AP131)</f>
        <v>4791.68</v>
      </c>
      <c r="AR131" s="3">
        <v>395.42</v>
      </c>
      <c r="AS131" s="3">
        <v>395.42</v>
      </c>
      <c r="AT131" s="3">
        <v>395.42</v>
      </c>
      <c r="AU131" s="3">
        <v>395.42</v>
      </c>
      <c r="AV131" s="3">
        <v>382.92</v>
      </c>
      <c r="AW131" s="3">
        <v>382.92</v>
      </c>
      <c r="AX131" s="3">
        <v>382.92</v>
      </c>
      <c r="AY131" s="3">
        <v>382.92</v>
      </c>
      <c r="AZ131" s="3">
        <v>382.92</v>
      </c>
      <c r="BA131" s="3">
        <v>382.92</v>
      </c>
      <c r="BB131" s="3">
        <v>382.92</v>
      </c>
      <c r="BC131" s="3">
        <v>382.92</v>
      </c>
      <c r="BD131" s="3">
        <f>SUM(AR131:BC131)</f>
        <v>4645.04</v>
      </c>
    </row>
    <row r="132" spans="1:56" x14ac:dyDescent="0.3">
      <c r="D132" s="8" t="s">
        <v>9</v>
      </c>
      <c r="E132" s="11">
        <v>250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2">
        <f>SUM(E132:P132)</f>
        <v>250</v>
      </c>
      <c r="R132" s="11">
        <v>250</v>
      </c>
      <c r="AD132" s="12">
        <f>SUM(R132:AC132)</f>
        <v>250</v>
      </c>
      <c r="AE132" s="11">
        <v>250</v>
      </c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3">
        <f>SUM(AE132:AP132)</f>
        <v>250</v>
      </c>
      <c r="AR132" s="3">
        <v>250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f>SUM(AR132:BC132)</f>
        <v>250</v>
      </c>
    </row>
    <row r="133" spans="1:56" ht="13.5" thickBot="1" x14ac:dyDescent="0.35">
      <c r="A133" t="s">
        <v>69</v>
      </c>
      <c r="D133" s="8" t="s">
        <v>10</v>
      </c>
      <c r="E133" s="11">
        <f>10833.33+17510.42</f>
        <v>28343.75</v>
      </c>
      <c r="F133" s="11">
        <f>11250+17077.08</f>
        <v>28327.08</v>
      </c>
      <c r="G133" s="11">
        <f t="shared" ref="G133:R133" si="116">11250+17077.08</f>
        <v>28327.08</v>
      </c>
      <c r="H133" s="11">
        <f t="shared" si="116"/>
        <v>28327.08</v>
      </c>
      <c r="I133" s="11">
        <f t="shared" si="116"/>
        <v>28327.08</v>
      </c>
      <c r="J133" s="11">
        <f t="shared" si="116"/>
        <v>28327.08</v>
      </c>
      <c r="K133" s="11">
        <f t="shared" si="116"/>
        <v>28327.08</v>
      </c>
      <c r="L133" s="11">
        <f t="shared" si="116"/>
        <v>28327.08</v>
      </c>
      <c r="M133" s="11">
        <f t="shared" si="116"/>
        <v>28327.08</v>
      </c>
      <c r="N133" s="11">
        <f t="shared" si="116"/>
        <v>28327.08</v>
      </c>
      <c r="O133" s="11">
        <f t="shared" si="116"/>
        <v>28327.08</v>
      </c>
      <c r="P133" s="11">
        <f t="shared" si="116"/>
        <v>28327.08</v>
      </c>
      <c r="Q133" s="12">
        <f>SUM(E133:P133)</f>
        <v>339941.63000000012</v>
      </c>
      <c r="R133" s="11">
        <f t="shared" si="116"/>
        <v>28327.08</v>
      </c>
      <c r="S133" s="11">
        <f>11666.67+16627.08</f>
        <v>28293.75</v>
      </c>
      <c r="T133" s="11">
        <f t="shared" ref="T133:AE133" si="117">11666.67+16627.08</f>
        <v>28293.75</v>
      </c>
      <c r="U133" s="11">
        <f t="shared" si="117"/>
        <v>28293.75</v>
      </c>
      <c r="V133" s="11">
        <f t="shared" si="117"/>
        <v>28293.75</v>
      </c>
      <c r="W133" s="11">
        <f t="shared" si="117"/>
        <v>28293.75</v>
      </c>
      <c r="X133" s="11">
        <f t="shared" si="117"/>
        <v>28293.75</v>
      </c>
      <c r="Y133" s="11">
        <f t="shared" si="117"/>
        <v>28293.75</v>
      </c>
      <c r="Z133" s="11">
        <f t="shared" si="117"/>
        <v>28293.75</v>
      </c>
      <c r="AA133" s="11">
        <f t="shared" si="117"/>
        <v>28293.75</v>
      </c>
      <c r="AB133" s="11">
        <f t="shared" si="117"/>
        <v>28293.75</v>
      </c>
      <c r="AC133" s="11">
        <f t="shared" si="117"/>
        <v>28293.75</v>
      </c>
      <c r="AD133" s="12">
        <f>SUM(R133:AC133)</f>
        <v>339558.33</v>
      </c>
      <c r="AE133" s="11">
        <f t="shared" si="117"/>
        <v>28293.75</v>
      </c>
      <c r="AF133" s="12">
        <f>12500+16160.42</f>
        <v>28660.42</v>
      </c>
      <c r="AG133" s="12">
        <f t="shared" ref="AG133:AP133" si="118">12500+16160.42</f>
        <v>28660.42</v>
      </c>
      <c r="AH133" s="12">
        <f t="shared" si="118"/>
        <v>28660.42</v>
      </c>
      <c r="AI133" s="12">
        <f t="shared" si="118"/>
        <v>28660.42</v>
      </c>
      <c r="AJ133" s="12">
        <f t="shared" si="118"/>
        <v>28660.42</v>
      </c>
      <c r="AK133" s="12">
        <f t="shared" si="118"/>
        <v>28660.42</v>
      </c>
      <c r="AL133" s="12">
        <f t="shared" si="118"/>
        <v>28660.42</v>
      </c>
      <c r="AM133" s="12">
        <f t="shared" si="118"/>
        <v>28660.42</v>
      </c>
      <c r="AN133" s="12">
        <f t="shared" si="118"/>
        <v>28660.42</v>
      </c>
      <c r="AO133" s="12">
        <f t="shared" si="118"/>
        <v>28660.42</v>
      </c>
      <c r="AP133" s="12">
        <f t="shared" si="118"/>
        <v>28660.42</v>
      </c>
      <c r="AQ133" s="3">
        <f>SUM(AE133:AP133)</f>
        <v>343558.36999999988</v>
      </c>
      <c r="AR133" s="3">
        <f>12500+16160.42</f>
        <v>28660.42</v>
      </c>
      <c r="AS133" s="3">
        <f>12916.67+15660.42</f>
        <v>28577.09</v>
      </c>
      <c r="AT133" s="3">
        <f t="shared" ref="AT133:BC133" si="119">12916.67+15660.42</f>
        <v>28577.09</v>
      </c>
      <c r="AU133" s="3">
        <f t="shared" si="119"/>
        <v>28577.09</v>
      </c>
      <c r="AV133" s="3">
        <f t="shared" si="119"/>
        <v>28577.09</v>
      </c>
      <c r="AW133" s="3">
        <f t="shared" si="119"/>
        <v>28577.09</v>
      </c>
      <c r="AX133" s="3">
        <f t="shared" si="119"/>
        <v>28577.09</v>
      </c>
      <c r="AY133" s="3">
        <f t="shared" si="119"/>
        <v>28577.09</v>
      </c>
      <c r="AZ133" s="3">
        <f t="shared" si="119"/>
        <v>28577.09</v>
      </c>
      <c r="BA133" s="3">
        <f t="shared" si="119"/>
        <v>28577.09</v>
      </c>
      <c r="BB133" s="3">
        <f t="shared" si="119"/>
        <v>28577.09</v>
      </c>
      <c r="BC133" s="3">
        <f t="shared" si="119"/>
        <v>28577.09</v>
      </c>
      <c r="BD133" s="3">
        <f>SUM(AR133:BC133)</f>
        <v>343008.41000000003</v>
      </c>
    </row>
    <row r="134" spans="1:56" ht="13.5" thickBot="1" x14ac:dyDescent="0.35">
      <c r="D134" s="13" t="s">
        <v>70</v>
      </c>
      <c r="E134" s="14">
        <f t="shared" ref="E134:P134" si="120">SUM(E131:E133)</f>
        <v>29022.92</v>
      </c>
      <c r="F134" s="14">
        <f t="shared" si="120"/>
        <v>28756.25</v>
      </c>
      <c r="G134" s="14">
        <f t="shared" si="120"/>
        <v>28756.25</v>
      </c>
      <c r="H134" s="14">
        <f t="shared" si="120"/>
        <v>28756.25</v>
      </c>
      <c r="I134" s="14">
        <f t="shared" si="120"/>
        <v>28745.410000000003</v>
      </c>
      <c r="J134" s="14">
        <f t="shared" si="120"/>
        <v>28745.410000000003</v>
      </c>
      <c r="K134" s="14">
        <f t="shared" si="120"/>
        <v>28745.410000000003</v>
      </c>
      <c r="L134" s="14">
        <f t="shared" si="120"/>
        <v>28745.410000000003</v>
      </c>
      <c r="M134" s="14">
        <f t="shared" si="120"/>
        <v>28745.410000000003</v>
      </c>
      <c r="N134" s="14">
        <f t="shared" si="120"/>
        <v>28745.410000000003</v>
      </c>
      <c r="O134" s="14">
        <f t="shared" si="120"/>
        <v>28745.410000000003</v>
      </c>
      <c r="P134" s="14">
        <f t="shared" si="120"/>
        <v>28745.410000000003</v>
      </c>
      <c r="Q134" s="14">
        <f>SUM(Q131:Q133)</f>
        <v>345254.95000000013</v>
      </c>
      <c r="R134" s="14">
        <f t="shared" ref="R134:AC134" si="121">SUM(R131:R133)</f>
        <v>28995.410000000003</v>
      </c>
      <c r="S134" s="14">
        <f t="shared" si="121"/>
        <v>28712.080000000002</v>
      </c>
      <c r="T134" s="14">
        <f t="shared" si="121"/>
        <v>28712.080000000002</v>
      </c>
      <c r="U134" s="14">
        <f t="shared" si="121"/>
        <v>28712.080000000002</v>
      </c>
      <c r="V134" s="14">
        <f t="shared" si="121"/>
        <v>28700.83</v>
      </c>
      <c r="W134" s="14">
        <f t="shared" si="121"/>
        <v>28700.83</v>
      </c>
      <c r="X134" s="14">
        <f t="shared" si="121"/>
        <v>28700.83</v>
      </c>
      <c r="Y134" s="14">
        <f t="shared" si="121"/>
        <v>28700.83</v>
      </c>
      <c r="Z134" s="14">
        <f t="shared" si="121"/>
        <v>28700.83</v>
      </c>
      <c r="AA134" s="14">
        <f t="shared" si="121"/>
        <v>28700.83</v>
      </c>
      <c r="AB134" s="14">
        <f t="shared" si="121"/>
        <v>28700.83</v>
      </c>
      <c r="AC134" s="14">
        <f t="shared" si="121"/>
        <v>28700.83</v>
      </c>
      <c r="AD134" s="14">
        <f>SUM(AD131:AD133)</f>
        <v>344738.29000000004</v>
      </c>
      <c r="AE134" s="14">
        <f>SUM(AE131:AE133)</f>
        <v>28950.83</v>
      </c>
      <c r="AF134" s="14">
        <f>SUM(AF131:AF133)</f>
        <v>29067.5</v>
      </c>
      <c r="AG134" s="14">
        <f t="shared" ref="AG134:AP134" si="122">SUM(AG131:AG133)</f>
        <v>29067.5</v>
      </c>
      <c r="AH134" s="14">
        <f t="shared" si="122"/>
        <v>29067.5</v>
      </c>
      <c r="AI134" s="14">
        <f t="shared" si="122"/>
        <v>29055.839999999997</v>
      </c>
      <c r="AJ134" s="14">
        <f t="shared" si="122"/>
        <v>29055.839999999997</v>
      </c>
      <c r="AK134" s="14">
        <f t="shared" si="122"/>
        <v>29055.839999999997</v>
      </c>
      <c r="AL134" s="14">
        <f t="shared" si="122"/>
        <v>29055.839999999997</v>
      </c>
      <c r="AM134" s="14">
        <f t="shared" si="122"/>
        <v>29055.839999999997</v>
      </c>
      <c r="AN134" s="14">
        <f t="shared" si="122"/>
        <v>29055.839999999997</v>
      </c>
      <c r="AO134" s="14">
        <f t="shared" si="122"/>
        <v>29055.839999999997</v>
      </c>
      <c r="AP134" s="14">
        <f t="shared" si="122"/>
        <v>29055.839999999997</v>
      </c>
      <c r="AQ134" s="22">
        <f>SUM(AQ131:AQ133)</f>
        <v>348600.04999999987</v>
      </c>
      <c r="AR134" s="22">
        <f t="shared" ref="AR134:BD134" si="123">SUM(AR131:AR133)</f>
        <v>29305.839999999997</v>
      </c>
      <c r="AS134" s="22">
        <f t="shared" si="123"/>
        <v>28972.51</v>
      </c>
      <c r="AT134" s="22">
        <f t="shared" si="123"/>
        <v>28972.51</v>
      </c>
      <c r="AU134" s="22">
        <f t="shared" si="123"/>
        <v>28972.51</v>
      </c>
      <c r="AV134" s="22">
        <f t="shared" si="123"/>
        <v>28960.01</v>
      </c>
      <c r="AW134" s="22">
        <f t="shared" si="123"/>
        <v>28960.01</v>
      </c>
      <c r="AX134" s="22">
        <f t="shared" si="123"/>
        <v>28960.01</v>
      </c>
      <c r="AY134" s="22">
        <f t="shared" si="123"/>
        <v>28960.01</v>
      </c>
      <c r="AZ134" s="22">
        <f t="shared" si="123"/>
        <v>28960.01</v>
      </c>
      <c r="BA134" s="22">
        <f t="shared" si="123"/>
        <v>28960.01</v>
      </c>
      <c r="BB134" s="22">
        <f t="shared" si="123"/>
        <v>28960.01</v>
      </c>
      <c r="BC134" s="22">
        <f t="shared" si="123"/>
        <v>28960.01</v>
      </c>
      <c r="BD134" s="22">
        <f t="shared" si="123"/>
        <v>347903.45</v>
      </c>
    </row>
    <row r="135" spans="1:56" x14ac:dyDescent="0.3">
      <c r="D135" s="15"/>
    </row>
    <row r="136" spans="1:56" ht="15.5" x14ac:dyDescent="0.35">
      <c r="B136" s="20">
        <f>+B130+1</f>
        <v>18</v>
      </c>
      <c r="C136" s="1" t="s">
        <v>14</v>
      </c>
      <c r="D136" s="25" t="s">
        <v>71</v>
      </c>
    </row>
    <row r="137" spans="1:56" x14ac:dyDescent="0.3">
      <c r="D137" s="8" t="s">
        <v>8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f>SUM(E137:P137)</f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f>SUM(R137:AC137)</f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3">
        <f>SUM(AE137:AP137)</f>
        <v>0</v>
      </c>
      <c r="AR137" s="3">
        <f t="shared" ref="AR137:BC137" si="124">SUM(AF137:AQ137)</f>
        <v>0</v>
      </c>
      <c r="AS137" s="3">
        <f t="shared" si="124"/>
        <v>0</v>
      </c>
      <c r="AT137" s="3">
        <f t="shared" si="124"/>
        <v>0</v>
      </c>
      <c r="AU137" s="3">
        <f t="shared" si="124"/>
        <v>0</v>
      </c>
      <c r="AV137" s="3">
        <f t="shared" si="124"/>
        <v>0</v>
      </c>
      <c r="AW137" s="3">
        <f t="shared" si="124"/>
        <v>0</v>
      </c>
      <c r="AX137" s="3">
        <f t="shared" si="124"/>
        <v>0</v>
      </c>
      <c r="AY137" s="3">
        <f t="shared" si="124"/>
        <v>0</v>
      </c>
      <c r="AZ137" s="3">
        <f t="shared" si="124"/>
        <v>0</v>
      </c>
      <c r="BA137" s="3">
        <f t="shared" si="124"/>
        <v>0</v>
      </c>
      <c r="BB137" s="3">
        <f t="shared" si="124"/>
        <v>0</v>
      </c>
      <c r="BC137" s="3">
        <f t="shared" si="124"/>
        <v>0</v>
      </c>
      <c r="BD137" s="3">
        <f>SUM(AR137:BC137)</f>
        <v>0</v>
      </c>
    </row>
    <row r="138" spans="1:56" x14ac:dyDescent="0.3">
      <c r="D138" s="8" t="s">
        <v>9</v>
      </c>
      <c r="E138" s="11">
        <v>250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>
        <f>SUM(E138:P138)</f>
        <v>250</v>
      </c>
      <c r="R138" s="11">
        <v>250</v>
      </c>
      <c r="AD138" s="12">
        <f>SUM(R138:AC138)</f>
        <v>250</v>
      </c>
      <c r="AE138" s="11">
        <v>250</v>
      </c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3">
        <f>SUM(AE138:AP138)</f>
        <v>250</v>
      </c>
      <c r="AR138" s="3">
        <v>250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f>SUM(AR138:BC138)</f>
        <v>250</v>
      </c>
    </row>
    <row r="139" spans="1:56" ht="13.5" thickBot="1" x14ac:dyDescent="0.35">
      <c r="A139" t="s">
        <v>72</v>
      </c>
      <c r="D139" s="8" t="s">
        <v>10</v>
      </c>
      <c r="E139" s="11">
        <v>73884.899999999994</v>
      </c>
      <c r="F139" s="11">
        <v>73884.899999999994</v>
      </c>
      <c r="G139" s="11">
        <v>73884.899999999994</v>
      </c>
      <c r="H139" s="11">
        <v>73884.899999999994</v>
      </c>
      <c r="I139" s="17">
        <v>73591.56</v>
      </c>
      <c r="J139" s="17">
        <f>20000+53951.56+360</f>
        <v>74311.56</v>
      </c>
      <c r="K139" s="11">
        <f t="shared" ref="K139:U139" si="125">20000+53951.56</f>
        <v>73951.56</v>
      </c>
      <c r="L139" s="11">
        <f t="shared" si="125"/>
        <v>73951.56</v>
      </c>
      <c r="M139" s="11">
        <f t="shared" si="125"/>
        <v>73951.56</v>
      </c>
      <c r="N139" s="11">
        <f t="shared" si="125"/>
        <v>73951.56</v>
      </c>
      <c r="O139" s="11">
        <f t="shared" si="125"/>
        <v>73951.56</v>
      </c>
      <c r="P139" s="11">
        <f t="shared" si="125"/>
        <v>73951.56</v>
      </c>
      <c r="Q139" s="12">
        <f>SUM(E139:P139)</f>
        <v>887152.08000000007</v>
      </c>
      <c r="R139" s="11">
        <f t="shared" si="125"/>
        <v>73951.56</v>
      </c>
      <c r="S139" s="11">
        <f t="shared" si="125"/>
        <v>73951.56</v>
      </c>
      <c r="T139" s="11">
        <f t="shared" si="125"/>
        <v>73951.56</v>
      </c>
      <c r="U139" s="11">
        <f t="shared" si="125"/>
        <v>73951.56</v>
      </c>
      <c r="V139" s="11">
        <v>73984.899999999994</v>
      </c>
      <c r="W139" s="11">
        <v>73984.899999999994</v>
      </c>
      <c r="X139" s="11">
        <v>73984.899999999994</v>
      </c>
      <c r="Y139" s="11">
        <v>73984.899999999994</v>
      </c>
      <c r="Z139" s="11">
        <v>73984.899999999994</v>
      </c>
      <c r="AA139" s="11">
        <v>73984.899999999994</v>
      </c>
      <c r="AB139" s="11">
        <v>73984.899999999994</v>
      </c>
      <c r="AC139" s="11">
        <v>73984.899999999994</v>
      </c>
      <c r="AD139" s="12">
        <f>SUM(R139:AC139)</f>
        <v>887685.44000000018</v>
      </c>
      <c r="AE139" s="11">
        <v>73984.899999999994</v>
      </c>
      <c r="AF139" s="11">
        <v>73984.899999999994</v>
      </c>
      <c r="AG139" s="11">
        <v>73984.899999999994</v>
      </c>
      <c r="AH139" s="11">
        <v>73984.899999999994</v>
      </c>
      <c r="AI139" s="11">
        <v>73984.899999999994</v>
      </c>
      <c r="AJ139" s="11">
        <v>73984.899999999994</v>
      </c>
      <c r="AK139" s="11">
        <v>73984.899999999994</v>
      </c>
      <c r="AL139" s="11">
        <v>73984.899999999994</v>
      </c>
      <c r="AM139" s="11">
        <v>73984.899999999994</v>
      </c>
      <c r="AN139" s="11">
        <v>73984.899999999994</v>
      </c>
      <c r="AO139" s="11">
        <v>73984.899999999994</v>
      </c>
      <c r="AP139" s="11">
        <v>73984.899999999994</v>
      </c>
      <c r="AQ139" s="3">
        <f>SUM(AE139:AP139)</f>
        <v>887818.80000000016</v>
      </c>
      <c r="AR139" s="3">
        <f>21666.67+52318.23</f>
        <v>73984.899999999994</v>
      </c>
      <c r="AS139" s="3">
        <f>21666.67+52318.23</f>
        <v>73984.899999999994</v>
      </c>
      <c r="AT139" s="3">
        <f>21666.67+52318.23</f>
        <v>73984.899999999994</v>
      </c>
      <c r="AU139" s="3">
        <f>21666.67+52318.23</f>
        <v>73984.899999999994</v>
      </c>
      <c r="AV139" s="3">
        <f>22916.67+51451.56</f>
        <v>74368.23</v>
      </c>
      <c r="AW139" s="3">
        <f t="shared" ref="AW139:BC139" si="126">22916.67+51451.56</f>
        <v>74368.23</v>
      </c>
      <c r="AX139" s="3">
        <f t="shared" si="126"/>
        <v>74368.23</v>
      </c>
      <c r="AY139" s="3">
        <f t="shared" si="126"/>
        <v>74368.23</v>
      </c>
      <c r="AZ139" s="3">
        <f t="shared" si="126"/>
        <v>74368.23</v>
      </c>
      <c r="BA139" s="3">
        <f t="shared" si="126"/>
        <v>74368.23</v>
      </c>
      <c r="BB139" s="3">
        <f t="shared" si="126"/>
        <v>74368.23</v>
      </c>
      <c r="BC139" s="3">
        <f t="shared" si="126"/>
        <v>74368.23</v>
      </c>
      <c r="BD139" s="3">
        <f>SUM(AR139:BC139)</f>
        <v>890885.43999999983</v>
      </c>
    </row>
    <row r="140" spans="1:56" ht="13.5" thickBot="1" x14ac:dyDescent="0.35">
      <c r="D140" s="13" t="s">
        <v>73</v>
      </c>
      <c r="E140" s="14">
        <f t="shared" ref="E140:P140" si="127">SUM(E137:E139)</f>
        <v>74134.899999999994</v>
      </c>
      <c r="F140" s="14">
        <f t="shared" si="127"/>
        <v>73884.899999999994</v>
      </c>
      <c r="G140" s="14">
        <f t="shared" si="127"/>
        <v>73884.899999999994</v>
      </c>
      <c r="H140" s="14">
        <f t="shared" si="127"/>
        <v>73884.899999999994</v>
      </c>
      <c r="I140" s="14">
        <f t="shared" si="127"/>
        <v>73591.56</v>
      </c>
      <c r="J140" s="14">
        <f t="shared" si="127"/>
        <v>74311.56</v>
      </c>
      <c r="K140" s="14">
        <f t="shared" si="127"/>
        <v>73951.56</v>
      </c>
      <c r="L140" s="14">
        <f t="shared" si="127"/>
        <v>73951.56</v>
      </c>
      <c r="M140" s="14">
        <f t="shared" si="127"/>
        <v>73951.56</v>
      </c>
      <c r="N140" s="14">
        <f t="shared" si="127"/>
        <v>73951.56</v>
      </c>
      <c r="O140" s="14">
        <f t="shared" si="127"/>
        <v>73951.56</v>
      </c>
      <c r="P140" s="14">
        <f t="shared" si="127"/>
        <v>73951.56</v>
      </c>
      <c r="Q140" s="14">
        <f>SUM(Q137:Q139)</f>
        <v>887402.08000000007</v>
      </c>
      <c r="R140" s="14">
        <f t="shared" ref="R140:AC140" si="128">SUM(R137:R139)</f>
        <v>74201.56</v>
      </c>
      <c r="S140" s="14">
        <f t="shared" si="128"/>
        <v>73951.56</v>
      </c>
      <c r="T140" s="14">
        <f t="shared" si="128"/>
        <v>73951.56</v>
      </c>
      <c r="U140" s="14">
        <f t="shared" si="128"/>
        <v>73951.56</v>
      </c>
      <c r="V140" s="14">
        <f t="shared" si="128"/>
        <v>73984.899999999994</v>
      </c>
      <c r="W140" s="14">
        <f t="shared" si="128"/>
        <v>73984.899999999994</v>
      </c>
      <c r="X140" s="14">
        <f t="shared" si="128"/>
        <v>73984.899999999994</v>
      </c>
      <c r="Y140" s="14">
        <f t="shared" si="128"/>
        <v>73984.899999999994</v>
      </c>
      <c r="Z140" s="14">
        <f t="shared" si="128"/>
        <v>73984.899999999994</v>
      </c>
      <c r="AA140" s="14">
        <f t="shared" si="128"/>
        <v>73984.899999999994</v>
      </c>
      <c r="AB140" s="14">
        <f t="shared" si="128"/>
        <v>73984.899999999994</v>
      </c>
      <c r="AC140" s="14">
        <f t="shared" si="128"/>
        <v>73984.899999999994</v>
      </c>
      <c r="AD140" s="14">
        <f>SUM(AD137:AD139)</f>
        <v>887935.44000000018</v>
      </c>
      <c r="AE140" s="14">
        <f>SUM(AE137:AE139)</f>
        <v>74234.899999999994</v>
      </c>
      <c r="AF140" s="14">
        <f>SUM(AF137:AF139)</f>
        <v>73984.899999999994</v>
      </c>
      <c r="AG140" s="14">
        <f t="shared" ref="AG140:AP140" si="129">SUM(AG137:AG139)</f>
        <v>73984.899999999994</v>
      </c>
      <c r="AH140" s="14">
        <f t="shared" si="129"/>
        <v>73984.899999999994</v>
      </c>
      <c r="AI140" s="14">
        <f t="shared" si="129"/>
        <v>73984.899999999994</v>
      </c>
      <c r="AJ140" s="14">
        <f t="shared" si="129"/>
        <v>73984.899999999994</v>
      </c>
      <c r="AK140" s="14">
        <f t="shared" si="129"/>
        <v>73984.899999999994</v>
      </c>
      <c r="AL140" s="14">
        <f t="shared" si="129"/>
        <v>73984.899999999994</v>
      </c>
      <c r="AM140" s="14">
        <f t="shared" si="129"/>
        <v>73984.899999999994</v>
      </c>
      <c r="AN140" s="14">
        <f t="shared" si="129"/>
        <v>73984.899999999994</v>
      </c>
      <c r="AO140" s="14">
        <f t="shared" si="129"/>
        <v>73984.899999999994</v>
      </c>
      <c r="AP140" s="14">
        <f t="shared" si="129"/>
        <v>73984.899999999994</v>
      </c>
      <c r="AQ140" s="22">
        <f>SUM(AQ137:AQ139)</f>
        <v>888068.80000000016</v>
      </c>
      <c r="AR140" s="22">
        <f t="shared" ref="AR140:BD140" si="130">SUM(AR137:AR139)</f>
        <v>74234.899999999994</v>
      </c>
      <c r="AS140" s="22">
        <f t="shared" si="130"/>
        <v>73984.899999999994</v>
      </c>
      <c r="AT140" s="22">
        <f t="shared" si="130"/>
        <v>73984.899999999994</v>
      </c>
      <c r="AU140" s="22">
        <f t="shared" si="130"/>
        <v>73984.899999999994</v>
      </c>
      <c r="AV140" s="22">
        <f t="shared" si="130"/>
        <v>74368.23</v>
      </c>
      <c r="AW140" s="22">
        <f t="shared" si="130"/>
        <v>74368.23</v>
      </c>
      <c r="AX140" s="22">
        <f t="shared" si="130"/>
        <v>74368.23</v>
      </c>
      <c r="AY140" s="22">
        <f t="shared" si="130"/>
        <v>74368.23</v>
      </c>
      <c r="AZ140" s="22">
        <f t="shared" si="130"/>
        <v>74368.23</v>
      </c>
      <c r="BA140" s="22">
        <f t="shared" si="130"/>
        <v>74368.23</v>
      </c>
      <c r="BB140" s="22">
        <f t="shared" si="130"/>
        <v>74368.23</v>
      </c>
      <c r="BC140" s="22">
        <f t="shared" si="130"/>
        <v>74368.23</v>
      </c>
      <c r="BD140" s="22">
        <f t="shared" si="130"/>
        <v>891135.43999999983</v>
      </c>
    </row>
    <row r="141" spans="1:56" x14ac:dyDescent="0.3">
      <c r="D141" s="15"/>
    </row>
    <row r="142" spans="1:56" ht="15.5" x14ac:dyDescent="0.35">
      <c r="B142" s="20"/>
      <c r="C142" s="32" t="s">
        <v>6</v>
      </c>
      <c r="D142" s="10" t="s">
        <v>74</v>
      </c>
    </row>
    <row r="143" spans="1:56" x14ac:dyDescent="0.3">
      <c r="D143" s="8" t="s">
        <v>8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/>
      <c r="L143" s="12"/>
      <c r="M143" s="12"/>
      <c r="N143" s="12"/>
      <c r="O143" s="12"/>
      <c r="P143" s="12"/>
      <c r="Q143" s="12">
        <f>SUM(E143:P143)</f>
        <v>0</v>
      </c>
    </row>
    <row r="144" spans="1:56" x14ac:dyDescent="0.3">
      <c r="D144" s="8" t="s">
        <v>9</v>
      </c>
      <c r="E144" s="11">
        <v>250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2">
        <f>SUM(E144:P144)</f>
        <v>250</v>
      </c>
    </row>
    <row r="145" spans="1:56" ht="13.5" thickBot="1" x14ac:dyDescent="0.35">
      <c r="A145" t="s">
        <v>75</v>
      </c>
      <c r="D145" s="8" t="s">
        <v>10</v>
      </c>
      <c r="E145" s="11">
        <f>10416.67+33333.17</f>
        <v>43749.84</v>
      </c>
      <c r="F145" s="11">
        <f>10416.67+33333.17</f>
        <v>43749.84</v>
      </c>
      <c r="G145" s="11">
        <f>10416.67+33333.17</f>
        <v>43749.84</v>
      </c>
      <c r="H145" s="11">
        <f>10416.67+33333.17</f>
        <v>43749.84</v>
      </c>
      <c r="I145" s="11">
        <f>10416.63+33333.15</f>
        <v>43749.78</v>
      </c>
      <c r="J145" s="11">
        <f>10833.33+32763.38</f>
        <v>43596.71</v>
      </c>
      <c r="K145" s="11"/>
      <c r="L145" s="11"/>
      <c r="M145" s="11"/>
      <c r="N145" s="11"/>
      <c r="O145" s="11"/>
      <c r="P145" s="11"/>
      <c r="Q145" s="12">
        <f>SUM(E145:P145)</f>
        <v>262345.84999999998</v>
      </c>
    </row>
    <row r="146" spans="1:56" ht="13.5" thickBot="1" x14ac:dyDescent="0.35">
      <c r="D146" s="13" t="s">
        <v>26</v>
      </c>
      <c r="E146" s="14">
        <f t="shared" ref="E146:P146" si="131">SUM(E143:E145)</f>
        <v>43999.839999999997</v>
      </c>
      <c r="F146" s="14">
        <f t="shared" si="131"/>
        <v>43749.84</v>
      </c>
      <c r="G146" s="14">
        <f t="shared" si="131"/>
        <v>43749.84</v>
      </c>
      <c r="H146" s="14">
        <f t="shared" si="131"/>
        <v>43749.84</v>
      </c>
      <c r="I146" s="14">
        <f t="shared" si="131"/>
        <v>43749.78</v>
      </c>
      <c r="J146" s="14">
        <f t="shared" si="131"/>
        <v>43596.71</v>
      </c>
      <c r="K146" s="14">
        <f t="shared" si="131"/>
        <v>0</v>
      </c>
      <c r="L146" s="14">
        <f t="shared" si="131"/>
        <v>0</v>
      </c>
      <c r="M146" s="14">
        <f t="shared" si="131"/>
        <v>0</v>
      </c>
      <c r="N146" s="14">
        <f t="shared" si="131"/>
        <v>0</v>
      </c>
      <c r="O146" s="14">
        <f t="shared" si="131"/>
        <v>0</v>
      </c>
      <c r="P146" s="14">
        <f t="shared" si="131"/>
        <v>0</v>
      </c>
      <c r="Q146" s="14">
        <f>SUM(Q143:Q145)</f>
        <v>262595.84999999998</v>
      </c>
    </row>
    <row r="147" spans="1:56" x14ac:dyDescent="0.3">
      <c r="D147" s="15"/>
    </row>
    <row r="148" spans="1:56" ht="15.5" x14ac:dyDescent="0.35">
      <c r="B148" s="20">
        <f>+B136+1</f>
        <v>19</v>
      </c>
      <c r="C148" s="1" t="s">
        <v>14</v>
      </c>
      <c r="D148" s="25" t="s">
        <v>76</v>
      </c>
    </row>
    <row r="149" spans="1:56" x14ac:dyDescent="0.3">
      <c r="D149" s="8" t="s">
        <v>8</v>
      </c>
      <c r="E149" s="11">
        <v>1007.92</v>
      </c>
      <c r="F149" s="11">
        <v>1007.92</v>
      </c>
      <c r="G149" s="11">
        <v>1007.92</v>
      </c>
      <c r="H149" s="11">
        <v>1007.92</v>
      </c>
      <c r="I149" s="11">
        <v>1007.92</v>
      </c>
      <c r="J149" s="11">
        <v>1007.92</v>
      </c>
      <c r="K149" s="11">
        <v>971.67</v>
      </c>
      <c r="L149" s="11">
        <v>971.67</v>
      </c>
      <c r="M149" s="11">
        <v>971.67</v>
      </c>
      <c r="N149" s="11">
        <v>971.67</v>
      </c>
      <c r="O149" s="11">
        <v>971.67</v>
      </c>
      <c r="P149" s="11">
        <v>971.67</v>
      </c>
      <c r="Q149" s="12">
        <f>SUM(E149:P149)</f>
        <v>11877.539999999999</v>
      </c>
      <c r="R149" s="11">
        <v>971.67</v>
      </c>
      <c r="S149" s="11">
        <v>971.67</v>
      </c>
      <c r="T149" s="11">
        <v>971.67</v>
      </c>
      <c r="U149" s="11">
        <v>971.67</v>
      </c>
      <c r="V149" s="11">
        <v>971.67</v>
      </c>
      <c r="W149" s="11">
        <v>971.67</v>
      </c>
      <c r="X149" s="11">
        <v>934.17</v>
      </c>
      <c r="Y149" s="11">
        <v>934.17</v>
      </c>
      <c r="Z149" s="11">
        <v>934.17</v>
      </c>
      <c r="AA149" s="11">
        <v>934.17</v>
      </c>
      <c r="AB149" s="11">
        <v>934.17</v>
      </c>
      <c r="AC149" s="11">
        <v>934.17</v>
      </c>
      <c r="AD149" s="12">
        <f>SUM(R149:AC149)</f>
        <v>11435.039999999999</v>
      </c>
      <c r="AE149" s="11">
        <v>934.17</v>
      </c>
      <c r="AF149" s="11">
        <v>934.17</v>
      </c>
      <c r="AG149" s="11">
        <v>934.17</v>
      </c>
      <c r="AH149" s="11">
        <v>934.17</v>
      </c>
      <c r="AI149" s="11">
        <v>934.17</v>
      </c>
      <c r="AJ149" s="11">
        <v>934.17</v>
      </c>
      <c r="AK149" s="12">
        <v>895</v>
      </c>
      <c r="AL149" s="12">
        <v>895</v>
      </c>
      <c r="AM149" s="12">
        <v>895</v>
      </c>
      <c r="AN149" s="12">
        <v>895</v>
      </c>
      <c r="AO149" s="12">
        <v>895</v>
      </c>
      <c r="AP149" s="12">
        <v>895</v>
      </c>
      <c r="AQ149" s="3">
        <f>SUM(AE149:AP149)</f>
        <v>10975.02</v>
      </c>
      <c r="AR149" s="3">
        <v>895</v>
      </c>
      <c r="AS149" s="3">
        <v>895</v>
      </c>
      <c r="AT149" s="3">
        <v>895</v>
      </c>
      <c r="AU149" s="3">
        <v>895</v>
      </c>
      <c r="AV149" s="3">
        <v>895</v>
      </c>
      <c r="AW149" s="3">
        <v>895</v>
      </c>
      <c r="AX149" s="3">
        <v>854.17</v>
      </c>
      <c r="AY149" s="3">
        <v>854.17</v>
      </c>
      <c r="AZ149" s="3">
        <v>854.17</v>
      </c>
      <c r="BA149" s="3">
        <v>854.17</v>
      </c>
      <c r="BB149" s="3">
        <v>854.17</v>
      </c>
      <c r="BC149" s="3">
        <v>854.17</v>
      </c>
      <c r="BD149" s="3">
        <f>SUM(AR149:BC149)</f>
        <v>10495.02</v>
      </c>
    </row>
    <row r="150" spans="1:56" x14ac:dyDescent="0.3">
      <c r="D150" s="8" t="s">
        <v>9</v>
      </c>
      <c r="E150" s="11">
        <v>250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2">
        <f>SUM(E150:P150)</f>
        <v>250</v>
      </c>
      <c r="R150" s="11">
        <v>250</v>
      </c>
      <c r="AD150" s="12">
        <f>SUM(R150:AC150)</f>
        <v>250</v>
      </c>
      <c r="AE150" s="11">
        <v>250</v>
      </c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3">
        <f>SUM(AE150:AP150)</f>
        <v>250</v>
      </c>
      <c r="AR150" s="3">
        <v>250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f>SUM(AR150:BC150)</f>
        <v>250</v>
      </c>
    </row>
    <row r="151" spans="1:56" ht="13.5" thickBot="1" x14ac:dyDescent="0.35">
      <c r="A151" t="s">
        <v>77</v>
      </c>
      <c r="D151" s="8" t="s">
        <v>10</v>
      </c>
      <c r="E151" s="11">
        <f>36250+41361.46</f>
        <v>77611.459999999992</v>
      </c>
      <c r="F151" s="11">
        <f>36250+41361.46</f>
        <v>77611.459999999992</v>
      </c>
      <c r="G151" s="11">
        <f>36250+41361.45</f>
        <v>77611.45</v>
      </c>
      <c r="H151" s="11">
        <f>37500+39911.46</f>
        <v>77411.459999999992</v>
      </c>
      <c r="I151" s="11">
        <f t="shared" ref="I151:S151" si="132">37500+39911.46</f>
        <v>77411.459999999992</v>
      </c>
      <c r="J151" s="11">
        <f t="shared" si="132"/>
        <v>77411.459999999992</v>
      </c>
      <c r="K151" s="11">
        <f t="shared" si="132"/>
        <v>77411.459999999992</v>
      </c>
      <c r="L151" s="11">
        <f t="shared" si="132"/>
        <v>77411.459999999992</v>
      </c>
      <c r="M151" s="11">
        <f>37500+39911.45</f>
        <v>77411.45</v>
      </c>
      <c r="N151" s="11">
        <f t="shared" si="132"/>
        <v>77411.459999999992</v>
      </c>
      <c r="O151" s="11">
        <f t="shared" si="132"/>
        <v>77411.459999999992</v>
      </c>
      <c r="P151" s="11">
        <f t="shared" si="132"/>
        <v>77411.459999999992</v>
      </c>
      <c r="Q151" s="12">
        <f>SUM(E151:P151)</f>
        <v>929537.49999999965</v>
      </c>
      <c r="R151" s="11">
        <f t="shared" si="132"/>
        <v>77411.459999999992</v>
      </c>
      <c r="S151" s="11">
        <f t="shared" si="132"/>
        <v>77411.459999999992</v>
      </c>
      <c r="T151" s="11">
        <f>37500+39911.45</f>
        <v>77411.45</v>
      </c>
      <c r="U151" s="11">
        <f>39166.67+38411.46</f>
        <v>77578.13</v>
      </c>
      <c r="V151" s="11">
        <f t="shared" ref="V151:AF151" si="133">39166.67+38411.46</f>
        <v>77578.13</v>
      </c>
      <c r="W151" s="11">
        <f t="shared" si="133"/>
        <v>77578.13</v>
      </c>
      <c r="X151" s="11">
        <f t="shared" si="133"/>
        <v>77578.13</v>
      </c>
      <c r="Y151" s="11">
        <f t="shared" si="133"/>
        <v>77578.13</v>
      </c>
      <c r="Z151" s="11">
        <f>39166.67+38411.45</f>
        <v>77578.12</v>
      </c>
      <c r="AA151" s="11">
        <f t="shared" si="133"/>
        <v>77578.13</v>
      </c>
      <c r="AB151" s="11">
        <f t="shared" si="133"/>
        <v>77578.13</v>
      </c>
      <c r="AC151" s="11">
        <f t="shared" si="133"/>
        <v>77578.13</v>
      </c>
      <c r="AD151" s="12">
        <f>SUM(R151:AC151)</f>
        <v>930437.53</v>
      </c>
      <c r="AE151" s="11">
        <f t="shared" si="133"/>
        <v>77578.13</v>
      </c>
      <c r="AF151" s="11">
        <f t="shared" si="133"/>
        <v>77578.13</v>
      </c>
      <c r="AG151" s="11">
        <f>39166.63+38411.45</f>
        <v>77578.079999999987</v>
      </c>
      <c r="AH151" s="12">
        <f>40833.33+36844.79</f>
        <v>77678.12</v>
      </c>
      <c r="AI151" s="12">
        <f t="shared" ref="AI151:AP151" si="134">40833.33+36844.79</f>
        <v>77678.12</v>
      </c>
      <c r="AJ151" s="12">
        <f t="shared" si="134"/>
        <v>77678.12</v>
      </c>
      <c r="AK151" s="12">
        <f t="shared" si="134"/>
        <v>77678.12</v>
      </c>
      <c r="AL151" s="12">
        <f t="shared" si="134"/>
        <v>77678.12</v>
      </c>
      <c r="AM151" s="12">
        <f>40833.33+36844.8</f>
        <v>77678.13</v>
      </c>
      <c r="AN151" s="12">
        <f t="shared" si="134"/>
        <v>77678.12</v>
      </c>
      <c r="AO151" s="12">
        <f t="shared" si="134"/>
        <v>77678.12</v>
      </c>
      <c r="AP151" s="12">
        <f t="shared" si="134"/>
        <v>77678.12</v>
      </c>
      <c r="AQ151" s="3">
        <f>SUM(AE151:AP151)</f>
        <v>931837.42999999993</v>
      </c>
      <c r="AR151" s="3">
        <f>40833.33+36844.79</f>
        <v>77678.12</v>
      </c>
      <c r="AS151" s="3">
        <f>40833.33+36844.79</f>
        <v>77678.12</v>
      </c>
      <c r="AT151" s="3">
        <f>40833.37+36844.8</f>
        <v>77678.170000000013</v>
      </c>
      <c r="AU151" s="3">
        <f>42083.33+35211.46</f>
        <v>77294.790000000008</v>
      </c>
      <c r="AV151" s="3">
        <f>42083.33+35211.46</f>
        <v>77294.790000000008</v>
      </c>
      <c r="AW151" s="3">
        <f>42083.33+35211.46</f>
        <v>77294.790000000008</v>
      </c>
      <c r="AX151" s="3">
        <f>42083.33+35211.46</f>
        <v>77294.790000000008</v>
      </c>
      <c r="AY151" s="3">
        <f>42083.33+35211.46</f>
        <v>77294.790000000008</v>
      </c>
      <c r="AZ151" s="3">
        <f>42083.33+35211.45</f>
        <v>77294.78</v>
      </c>
      <c r="BA151" s="3">
        <f>42083.33+35211.46</f>
        <v>77294.790000000008</v>
      </c>
      <c r="BB151" s="3">
        <f>42083.33+35211.46</f>
        <v>77294.790000000008</v>
      </c>
      <c r="BC151" s="3">
        <f>42083.33+35211.46</f>
        <v>77294.790000000008</v>
      </c>
      <c r="BD151" s="3">
        <f>SUM(AR151:BC151)</f>
        <v>928687.51000000024</v>
      </c>
    </row>
    <row r="152" spans="1:56" ht="13.5" thickBot="1" x14ac:dyDescent="0.35">
      <c r="D152" s="13" t="s">
        <v>78</v>
      </c>
      <c r="E152" s="14">
        <f t="shared" ref="E152:P152" si="135">SUM(E149:E151)</f>
        <v>78869.37999999999</v>
      </c>
      <c r="F152" s="14">
        <f t="shared" si="135"/>
        <v>78619.37999999999</v>
      </c>
      <c r="G152" s="14">
        <f t="shared" si="135"/>
        <v>78619.37</v>
      </c>
      <c r="H152" s="14">
        <f t="shared" si="135"/>
        <v>78419.37999999999</v>
      </c>
      <c r="I152" s="14">
        <f t="shared" si="135"/>
        <v>78419.37999999999</v>
      </c>
      <c r="J152" s="14">
        <f t="shared" si="135"/>
        <v>78419.37999999999</v>
      </c>
      <c r="K152" s="14">
        <f t="shared" si="135"/>
        <v>78383.12999999999</v>
      </c>
      <c r="L152" s="14">
        <f t="shared" si="135"/>
        <v>78383.12999999999</v>
      </c>
      <c r="M152" s="14">
        <f t="shared" si="135"/>
        <v>78383.12</v>
      </c>
      <c r="N152" s="14">
        <f t="shared" si="135"/>
        <v>78383.12999999999</v>
      </c>
      <c r="O152" s="14">
        <f t="shared" si="135"/>
        <v>78383.12999999999</v>
      </c>
      <c r="P152" s="14">
        <f t="shared" si="135"/>
        <v>78383.12999999999</v>
      </c>
      <c r="Q152" s="14">
        <f>SUM(Q149:Q151)</f>
        <v>941665.03999999969</v>
      </c>
      <c r="R152" s="14">
        <f t="shared" ref="R152:AC152" si="136">SUM(R149:R151)</f>
        <v>78633.12999999999</v>
      </c>
      <c r="S152" s="14">
        <f t="shared" si="136"/>
        <v>78383.12999999999</v>
      </c>
      <c r="T152" s="14">
        <f t="shared" si="136"/>
        <v>78383.12</v>
      </c>
      <c r="U152" s="14">
        <f t="shared" si="136"/>
        <v>78549.8</v>
      </c>
      <c r="V152" s="14">
        <f t="shared" si="136"/>
        <v>78549.8</v>
      </c>
      <c r="W152" s="14">
        <f t="shared" si="136"/>
        <v>78549.8</v>
      </c>
      <c r="X152" s="14">
        <f t="shared" si="136"/>
        <v>78512.3</v>
      </c>
      <c r="Y152" s="14">
        <f t="shared" si="136"/>
        <v>78512.3</v>
      </c>
      <c r="Z152" s="14">
        <f t="shared" si="136"/>
        <v>78512.289999999994</v>
      </c>
      <c r="AA152" s="14">
        <f t="shared" si="136"/>
        <v>78512.3</v>
      </c>
      <c r="AB152" s="14">
        <f t="shared" si="136"/>
        <v>78512.3</v>
      </c>
      <c r="AC152" s="14">
        <f t="shared" si="136"/>
        <v>78512.3</v>
      </c>
      <c r="AD152" s="14">
        <f>SUM(AD149:AD151)</f>
        <v>942122.57000000007</v>
      </c>
      <c r="AE152" s="14">
        <f>SUM(AE149:AE151)</f>
        <v>78762.3</v>
      </c>
      <c r="AF152" s="14">
        <f>SUM(AF149:AF151)</f>
        <v>78512.3</v>
      </c>
      <c r="AG152" s="14">
        <f t="shared" ref="AG152:AP152" si="137">SUM(AG149:AG151)</f>
        <v>78512.249999999985</v>
      </c>
      <c r="AH152" s="14">
        <f t="shared" si="137"/>
        <v>78612.289999999994</v>
      </c>
      <c r="AI152" s="14">
        <f t="shared" si="137"/>
        <v>78612.289999999994</v>
      </c>
      <c r="AJ152" s="14">
        <f t="shared" si="137"/>
        <v>78612.289999999994</v>
      </c>
      <c r="AK152" s="14">
        <f t="shared" si="137"/>
        <v>78573.119999999995</v>
      </c>
      <c r="AL152" s="14">
        <f t="shared" si="137"/>
        <v>78573.119999999995</v>
      </c>
      <c r="AM152" s="14">
        <f t="shared" si="137"/>
        <v>78573.13</v>
      </c>
      <c r="AN152" s="14">
        <f t="shared" si="137"/>
        <v>78573.119999999995</v>
      </c>
      <c r="AO152" s="14">
        <f t="shared" si="137"/>
        <v>78573.119999999995</v>
      </c>
      <c r="AP152" s="14">
        <f t="shared" si="137"/>
        <v>78573.119999999995</v>
      </c>
      <c r="AQ152" s="22">
        <f>SUM(AQ149:AQ151)</f>
        <v>943062.45</v>
      </c>
      <c r="AR152" s="22">
        <f t="shared" ref="AR152:BD152" si="138">SUM(AR149:AR151)</f>
        <v>78823.12</v>
      </c>
      <c r="AS152" s="22">
        <f t="shared" si="138"/>
        <v>78573.119999999995</v>
      </c>
      <c r="AT152" s="22">
        <f t="shared" si="138"/>
        <v>78573.170000000013</v>
      </c>
      <c r="AU152" s="22">
        <f t="shared" si="138"/>
        <v>78189.790000000008</v>
      </c>
      <c r="AV152" s="22">
        <f t="shared" si="138"/>
        <v>78189.790000000008</v>
      </c>
      <c r="AW152" s="22">
        <f t="shared" si="138"/>
        <v>78189.790000000008</v>
      </c>
      <c r="AX152" s="22">
        <f t="shared" si="138"/>
        <v>78148.960000000006</v>
      </c>
      <c r="AY152" s="22">
        <f t="shared" si="138"/>
        <v>78148.960000000006</v>
      </c>
      <c r="AZ152" s="22">
        <f t="shared" si="138"/>
        <v>78148.95</v>
      </c>
      <c r="BA152" s="22">
        <f t="shared" si="138"/>
        <v>78148.960000000006</v>
      </c>
      <c r="BB152" s="22">
        <f t="shared" si="138"/>
        <v>78148.960000000006</v>
      </c>
      <c r="BC152" s="22">
        <f t="shared" si="138"/>
        <v>78148.960000000006</v>
      </c>
      <c r="BD152" s="22">
        <f t="shared" si="138"/>
        <v>939432.53000000026</v>
      </c>
    </row>
    <row r="153" spans="1:56" x14ac:dyDescent="0.3">
      <c r="D153" s="15"/>
    </row>
    <row r="154" spans="1:56" ht="15.5" x14ac:dyDescent="0.35">
      <c r="B154" s="20">
        <f>+B148+1</f>
        <v>20</v>
      </c>
      <c r="C154" s="1" t="s">
        <v>14</v>
      </c>
      <c r="D154" s="25" t="s">
        <v>79</v>
      </c>
    </row>
    <row r="155" spans="1:56" x14ac:dyDescent="0.3">
      <c r="D155" s="8" t="s">
        <v>8</v>
      </c>
      <c r="E155" s="11">
        <v>950.83</v>
      </c>
      <c r="F155" s="11">
        <v>950.83</v>
      </c>
      <c r="G155" s="11">
        <v>950.83</v>
      </c>
      <c r="H155" s="11">
        <v>950.83</v>
      </c>
      <c r="I155" s="11">
        <v>950.83</v>
      </c>
      <c r="J155" s="11">
        <v>950.83</v>
      </c>
      <c r="K155" s="11">
        <v>950.83</v>
      </c>
      <c r="L155" s="11">
        <v>915.83</v>
      </c>
      <c r="M155" s="11">
        <v>915.83</v>
      </c>
      <c r="N155" s="11">
        <v>915.83</v>
      </c>
      <c r="O155" s="11">
        <v>915.83</v>
      </c>
      <c r="P155" s="11">
        <v>915.83</v>
      </c>
      <c r="Q155" s="12">
        <f>SUM(E155:P155)</f>
        <v>11234.960000000001</v>
      </c>
      <c r="R155" s="11">
        <v>915.83</v>
      </c>
      <c r="S155" s="11">
        <v>915.83</v>
      </c>
      <c r="T155" s="11">
        <v>915.83</v>
      </c>
      <c r="U155" s="11">
        <v>915.83</v>
      </c>
      <c r="V155" s="11">
        <v>915.83</v>
      </c>
      <c r="W155" s="11">
        <v>915.83</v>
      </c>
      <c r="X155" s="11">
        <v>915.83</v>
      </c>
      <c r="Y155" s="11">
        <v>879.58</v>
      </c>
      <c r="Z155" s="11">
        <v>879.58</v>
      </c>
      <c r="AA155" s="11">
        <v>879.58</v>
      </c>
      <c r="AB155" s="11">
        <v>879.58</v>
      </c>
      <c r="AC155" s="11">
        <v>879.58</v>
      </c>
      <c r="AD155" s="12">
        <f>SUM(R155:AC155)</f>
        <v>10808.710000000001</v>
      </c>
      <c r="AE155" s="11">
        <v>879.58</v>
      </c>
      <c r="AF155" s="11">
        <v>879.58</v>
      </c>
      <c r="AG155" s="11">
        <v>879.58</v>
      </c>
      <c r="AH155" s="11">
        <v>879.58</v>
      </c>
      <c r="AI155" s="11">
        <v>879.58</v>
      </c>
      <c r="AJ155" s="11">
        <v>879.58</v>
      </c>
      <c r="AK155" s="11">
        <v>879.58</v>
      </c>
      <c r="AL155" s="12">
        <v>841.67</v>
      </c>
      <c r="AM155" s="12">
        <v>841.67</v>
      </c>
      <c r="AN155" s="12">
        <v>841.67</v>
      </c>
      <c r="AO155" s="12">
        <v>841.67</v>
      </c>
      <c r="AP155" s="12">
        <v>841.67</v>
      </c>
      <c r="AQ155" s="3">
        <f>SUM(AE155:AP155)</f>
        <v>10365.41</v>
      </c>
      <c r="AR155" s="3">
        <v>841.67</v>
      </c>
      <c r="AS155" s="3">
        <v>841.67</v>
      </c>
      <c r="AT155" s="3">
        <v>841.67</v>
      </c>
      <c r="AU155" s="3">
        <v>841.67</v>
      </c>
      <c r="AV155" s="3">
        <v>841.67</v>
      </c>
      <c r="AW155" s="3">
        <v>841.67</v>
      </c>
      <c r="AX155" s="3">
        <v>841.67</v>
      </c>
      <c r="AY155" s="3">
        <v>802.08</v>
      </c>
      <c r="AZ155" s="3">
        <v>802.08</v>
      </c>
      <c r="BA155" s="3">
        <v>802.08</v>
      </c>
      <c r="BB155" s="3">
        <v>802.08</v>
      </c>
      <c r="BC155" s="3">
        <v>802.08</v>
      </c>
      <c r="BD155" s="3">
        <f>SUM(AR155:BC155)</f>
        <v>9902.09</v>
      </c>
    </row>
    <row r="156" spans="1:56" x14ac:dyDescent="0.3">
      <c r="D156" s="8" t="s">
        <v>9</v>
      </c>
      <c r="E156" s="11">
        <v>250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2">
        <f>SUM(E156:P156)</f>
        <v>250</v>
      </c>
      <c r="R156" s="11">
        <v>250</v>
      </c>
      <c r="AD156" s="12">
        <f>SUM(R156:AC156)</f>
        <v>250</v>
      </c>
      <c r="AE156" s="11">
        <v>250</v>
      </c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3">
        <f>SUM(AE156:AP156)</f>
        <v>250</v>
      </c>
      <c r="AR156" s="3">
        <v>250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f>SUM(AR156:BC156)</f>
        <v>250</v>
      </c>
    </row>
    <row r="157" spans="1:56" ht="13.5" thickBot="1" x14ac:dyDescent="0.35">
      <c r="A157" t="s">
        <v>80</v>
      </c>
      <c r="D157" s="8" t="s">
        <v>10</v>
      </c>
      <c r="E157" s="11">
        <f>39166.67+50042.71</f>
        <v>89209.38</v>
      </c>
      <c r="F157" s="11">
        <f>39166.67+50042.71</f>
        <v>89209.38</v>
      </c>
      <c r="G157" s="11">
        <f>39166.67+50042.71</f>
        <v>89209.38</v>
      </c>
      <c r="H157" s="11">
        <f>39166.67+50042.71</f>
        <v>89209.38</v>
      </c>
      <c r="I157" s="11">
        <f>39166.63+50042.7</f>
        <v>89209.329999999987</v>
      </c>
      <c r="J157" s="11">
        <f>40416.67+48507.29</f>
        <v>88923.959999999992</v>
      </c>
      <c r="K157" s="11">
        <f t="shared" ref="K157:U157" si="139">40416.67+48507.29</f>
        <v>88923.959999999992</v>
      </c>
      <c r="L157" s="11">
        <f t="shared" si="139"/>
        <v>88923.959999999992</v>
      </c>
      <c r="M157" s="11">
        <f t="shared" si="139"/>
        <v>88923.959999999992</v>
      </c>
      <c r="N157" s="11">
        <f t="shared" si="139"/>
        <v>88923.959999999992</v>
      </c>
      <c r="O157" s="11">
        <f>40416.67+48507.3</f>
        <v>88923.97</v>
      </c>
      <c r="P157" s="11">
        <f t="shared" si="139"/>
        <v>88923.959999999992</v>
      </c>
      <c r="Q157" s="12">
        <f>SUM(E157:P157)</f>
        <v>1068514.5799999998</v>
      </c>
      <c r="R157" s="11">
        <f t="shared" si="139"/>
        <v>88923.959999999992</v>
      </c>
      <c r="S157" s="11">
        <f t="shared" si="139"/>
        <v>88923.959999999992</v>
      </c>
      <c r="T157" s="11">
        <f t="shared" si="139"/>
        <v>88923.959999999992</v>
      </c>
      <c r="U157" s="11">
        <f t="shared" si="139"/>
        <v>88923.959999999992</v>
      </c>
      <c r="V157" s="11">
        <f>40416.63+48507.3</f>
        <v>88923.93</v>
      </c>
      <c r="W157" s="11">
        <f>42083.33+46921.88</f>
        <v>89005.209999999992</v>
      </c>
      <c r="X157" s="11">
        <f t="shared" ref="X157:AH157" si="140">42083.33+46921.88</f>
        <v>89005.209999999992</v>
      </c>
      <c r="Y157" s="11">
        <f t="shared" si="140"/>
        <v>89005.209999999992</v>
      </c>
      <c r="Z157" s="11">
        <f t="shared" si="140"/>
        <v>89005.209999999992</v>
      </c>
      <c r="AA157" s="11">
        <f t="shared" si="140"/>
        <v>89005.209999999992</v>
      </c>
      <c r="AB157" s="11">
        <f>42083.33+46921.85</f>
        <v>89005.18</v>
      </c>
      <c r="AC157" s="11">
        <f t="shared" si="140"/>
        <v>89005.209999999992</v>
      </c>
      <c r="AD157" s="12">
        <f>SUM(R157:AC157)</f>
        <v>1067656.2099999997</v>
      </c>
      <c r="AE157" s="11">
        <f t="shared" si="140"/>
        <v>89005.209999999992</v>
      </c>
      <c r="AF157" s="11">
        <f t="shared" si="140"/>
        <v>89005.209999999992</v>
      </c>
      <c r="AG157" s="11">
        <f t="shared" si="140"/>
        <v>89005.209999999992</v>
      </c>
      <c r="AH157" s="11">
        <f t="shared" si="140"/>
        <v>89005.209999999992</v>
      </c>
      <c r="AI157" s="11">
        <f>42083.37+46921.85</f>
        <v>89005.22</v>
      </c>
      <c r="AJ157" s="12">
        <f>44166.67+45269.79</f>
        <v>89436.459999999992</v>
      </c>
      <c r="AK157" s="12">
        <f t="shared" ref="AK157:AP157" si="141">44166.67+45269.79</f>
        <v>89436.459999999992</v>
      </c>
      <c r="AL157" s="12">
        <f t="shared" si="141"/>
        <v>89436.459999999992</v>
      </c>
      <c r="AM157" s="12">
        <f t="shared" si="141"/>
        <v>89436.459999999992</v>
      </c>
      <c r="AN157" s="12">
        <f t="shared" si="141"/>
        <v>89436.459999999992</v>
      </c>
      <c r="AO157" s="12">
        <f>44166.67+45269.8</f>
        <v>89436.47</v>
      </c>
      <c r="AP157" s="12">
        <f t="shared" si="141"/>
        <v>89436.459999999992</v>
      </c>
      <c r="AQ157" s="3">
        <f>SUM(AE157:AP157)</f>
        <v>1071081.2899999998</v>
      </c>
      <c r="AR157" s="3">
        <f>44166.67+45269.79</f>
        <v>89436.459999999992</v>
      </c>
      <c r="AS157" s="3">
        <f>44166.67+45269.79</f>
        <v>89436.459999999992</v>
      </c>
      <c r="AT157" s="3">
        <f>44166.67+45269.79</f>
        <v>89436.459999999992</v>
      </c>
      <c r="AU157" s="3">
        <f>44166.67+45269.79</f>
        <v>89436.459999999992</v>
      </c>
      <c r="AV157" s="3">
        <f>44166.63+45269.8</f>
        <v>89436.43</v>
      </c>
      <c r="AW157" s="3">
        <f t="shared" ref="AW157:BC157" si="142">45416.67+43537.5</f>
        <v>88954.17</v>
      </c>
      <c r="AX157" s="3">
        <f t="shared" si="142"/>
        <v>88954.17</v>
      </c>
      <c r="AY157" s="3">
        <f t="shared" si="142"/>
        <v>88954.17</v>
      </c>
      <c r="AZ157" s="3">
        <f t="shared" si="142"/>
        <v>88954.17</v>
      </c>
      <c r="BA157" s="3">
        <f t="shared" si="142"/>
        <v>88954.17</v>
      </c>
      <c r="BB157" s="3">
        <f t="shared" si="142"/>
        <v>88954.17</v>
      </c>
      <c r="BC157" s="3">
        <f t="shared" si="142"/>
        <v>88954.17</v>
      </c>
      <c r="BD157" s="3">
        <f>SUM(AR157:BC157)</f>
        <v>1069861.4600000002</v>
      </c>
    </row>
    <row r="158" spans="1:56" ht="13.5" thickBot="1" x14ac:dyDescent="0.35">
      <c r="D158" s="13" t="s">
        <v>67</v>
      </c>
      <c r="E158" s="14">
        <f t="shared" ref="E158:P158" si="143">SUM(E155:E157)</f>
        <v>90410.21</v>
      </c>
      <c r="F158" s="14">
        <f t="shared" si="143"/>
        <v>90160.21</v>
      </c>
      <c r="G158" s="14">
        <f t="shared" si="143"/>
        <v>90160.21</v>
      </c>
      <c r="H158" s="14">
        <f t="shared" si="143"/>
        <v>90160.21</v>
      </c>
      <c r="I158" s="14">
        <f t="shared" si="143"/>
        <v>90160.159999999989</v>
      </c>
      <c r="J158" s="14">
        <f t="shared" si="143"/>
        <v>89874.79</v>
      </c>
      <c r="K158" s="14">
        <f t="shared" si="143"/>
        <v>89874.79</v>
      </c>
      <c r="L158" s="14">
        <f t="shared" si="143"/>
        <v>89839.79</v>
      </c>
      <c r="M158" s="14">
        <f t="shared" si="143"/>
        <v>89839.79</v>
      </c>
      <c r="N158" s="14">
        <f t="shared" si="143"/>
        <v>89839.79</v>
      </c>
      <c r="O158" s="14">
        <f t="shared" si="143"/>
        <v>89839.8</v>
      </c>
      <c r="P158" s="14">
        <f t="shared" si="143"/>
        <v>89839.79</v>
      </c>
      <c r="Q158" s="14">
        <f>SUM(Q155:Q157)</f>
        <v>1079999.5399999998</v>
      </c>
      <c r="R158" s="14">
        <f t="shared" ref="R158:AC158" si="144">SUM(R155:R157)</f>
        <v>90089.79</v>
      </c>
      <c r="S158" s="14">
        <f t="shared" si="144"/>
        <v>89839.79</v>
      </c>
      <c r="T158" s="14">
        <f t="shared" si="144"/>
        <v>89839.79</v>
      </c>
      <c r="U158" s="14">
        <f t="shared" si="144"/>
        <v>89839.79</v>
      </c>
      <c r="V158" s="14">
        <f t="shared" si="144"/>
        <v>89839.76</v>
      </c>
      <c r="W158" s="14">
        <f t="shared" si="144"/>
        <v>89921.04</v>
      </c>
      <c r="X158" s="14">
        <f t="shared" si="144"/>
        <v>89921.04</v>
      </c>
      <c r="Y158" s="14">
        <f t="shared" si="144"/>
        <v>89884.79</v>
      </c>
      <c r="Z158" s="14">
        <f t="shared" si="144"/>
        <v>89884.79</v>
      </c>
      <c r="AA158" s="14">
        <f t="shared" si="144"/>
        <v>89884.79</v>
      </c>
      <c r="AB158" s="14">
        <f t="shared" si="144"/>
        <v>89884.76</v>
      </c>
      <c r="AC158" s="14">
        <f t="shared" si="144"/>
        <v>89884.79</v>
      </c>
      <c r="AD158" s="14">
        <f>SUM(AD155:AD157)</f>
        <v>1078714.9199999997</v>
      </c>
      <c r="AE158" s="14">
        <f>SUM(AE155:AE157)</f>
        <v>90134.79</v>
      </c>
      <c r="AF158" s="14">
        <f>SUM(AF155:AF157)</f>
        <v>89884.79</v>
      </c>
      <c r="AG158" s="14">
        <f t="shared" ref="AG158:AP158" si="145">SUM(AG155:AG157)</f>
        <v>89884.79</v>
      </c>
      <c r="AH158" s="14">
        <f t="shared" si="145"/>
        <v>89884.79</v>
      </c>
      <c r="AI158" s="14">
        <f t="shared" si="145"/>
        <v>89884.800000000003</v>
      </c>
      <c r="AJ158" s="14">
        <f t="shared" si="145"/>
        <v>90316.04</v>
      </c>
      <c r="AK158" s="14">
        <f t="shared" si="145"/>
        <v>90316.04</v>
      </c>
      <c r="AL158" s="14">
        <f t="shared" si="145"/>
        <v>90278.12999999999</v>
      </c>
      <c r="AM158" s="14">
        <f t="shared" si="145"/>
        <v>90278.12999999999</v>
      </c>
      <c r="AN158" s="14">
        <f t="shared" si="145"/>
        <v>90278.12999999999</v>
      </c>
      <c r="AO158" s="14">
        <f t="shared" si="145"/>
        <v>90278.14</v>
      </c>
      <c r="AP158" s="14">
        <f t="shared" si="145"/>
        <v>90278.12999999999</v>
      </c>
      <c r="AQ158" s="22">
        <f>SUM(AQ155:AQ157)</f>
        <v>1081696.6999999997</v>
      </c>
      <c r="AR158" s="22">
        <f t="shared" ref="AR158:BD158" si="146">SUM(AR155:AR157)</f>
        <v>90528.12999999999</v>
      </c>
      <c r="AS158" s="22">
        <f t="shared" si="146"/>
        <v>90278.12999999999</v>
      </c>
      <c r="AT158" s="22">
        <f t="shared" si="146"/>
        <v>90278.12999999999</v>
      </c>
      <c r="AU158" s="22">
        <f t="shared" si="146"/>
        <v>90278.12999999999</v>
      </c>
      <c r="AV158" s="22">
        <f t="shared" si="146"/>
        <v>90278.099999999991</v>
      </c>
      <c r="AW158" s="22">
        <f t="shared" si="146"/>
        <v>89795.839999999997</v>
      </c>
      <c r="AX158" s="22">
        <f t="shared" si="146"/>
        <v>89795.839999999997</v>
      </c>
      <c r="AY158" s="22">
        <f t="shared" si="146"/>
        <v>89756.25</v>
      </c>
      <c r="AZ158" s="22">
        <f t="shared" si="146"/>
        <v>89756.25</v>
      </c>
      <c r="BA158" s="22">
        <f t="shared" si="146"/>
        <v>89756.25</v>
      </c>
      <c r="BB158" s="22">
        <f t="shared" si="146"/>
        <v>89756.25</v>
      </c>
      <c r="BC158" s="22">
        <f t="shared" si="146"/>
        <v>89756.25</v>
      </c>
      <c r="BD158" s="22">
        <f t="shared" si="146"/>
        <v>1080013.5500000003</v>
      </c>
    </row>
    <row r="159" spans="1:56" x14ac:dyDescent="0.3">
      <c r="D159" s="15"/>
    </row>
    <row r="160" spans="1:56" ht="15.5" x14ac:dyDescent="0.35">
      <c r="B160" s="20">
        <f>+B154+1</f>
        <v>21</v>
      </c>
      <c r="C160" s="1" t="s">
        <v>14</v>
      </c>
      <c r="D160" s="25" t="s">
        <v>81</v>
      </c>
    </row>
    <row r="161" spans="1:56" x14ac:dyDescent="0.3">
      <c r="D161" s="8" t="s">
        <v>8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f>SUM(E161:P161)</f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f>SUM(R161:AC161)</f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3">
        <f>SUM(AE161:AP161)</f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f>SUM(AR161:BC161)</f>
        <v>0</v>
      </c>
    </row>
    <row r="162" spans="1:56" x14ac:dyDescent="0.3">
      <c r="D162" s="8" t="s">
        <v>9</v>
      </c>
      <c r="E162" s="11">
        <v>250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2">
        <f>SUM(E162:P162)</f>
        <v>250</v>
      </c>
      <c r="R162" s="11">
        <v>250</v>
      </c>
      <c r="AD162" s="12">
        <f>SUM(R162:AC162)</f>
        <v>250</v>
      </c>
      <c r="AE162" s="11">
        <v>250</v>
      </c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3">
        <f>SUM(AE162:AP162)</f>
        <v>250</v>
      </c>
      <c r="AR162" s="3">
        <v>250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f>SUM(AR162:BC162)</f>
        <v>250</v>
      </c>
    </row>
    <row r="163" spans="1:56" ht="13.5" thickBot="1" x14ac:dyDescent="0.35">
      <c r="A163" t="s">
        <v>82</v>
      </c>
      <c r="D163" s="8" t="s">
        <v>10</v>
      </c>
      <c r="E163" s="11">
        <f>48750+109283.33</f>
        <v>158033.33000000002</v>
      </c>
      <c r="F163" s="11">
        <f>48750+109283.33</f>
        <v>158033.33000000002</v>
      </c>
      <c r="G163" s="11">
        <f>48750+109283.33</f>
        <v>158033.33000000002</v>
      </c>
      <c r="H163" s="11">
        <f>48750+109283.33</f>
        <v>158033.33000000002</v>
      </c>
      <c r="I163" s="11">
        <f>48750+109283.35</f>
        <v>158033.35</v>
      </c>
      <c r="J163" s="11">
        <f>51250+107333.33</f>
        <v>158583.33000000002</v>
      </c>
      <c r="K163" s="11">
        <f t="shared" ref="K163:U163" si="147">51250+107333.33</f>
        <v>158583.33000000002</v>
      </c>
      <c r="L163" s="11">
        <f t="shared" si="147"/>
        <v>158583.33000000002</v>
      </c>
      <c r="M163" s="11">
        <f t="shared" si="147"/>
        <v>158583.33000000002</v>
      </c>
      <c r="N163" s="11">
        <f t="shared" si="147"/>
        <v>158583.33000000002</v>
      </c>
      <c r="O163" s="11">
        <f>51250+107333.35</f>
        <v>158583.35</v>
      </c>
      <c r="P163" s="11">
        <f t="shared" si="147"/>
        <v>158583.33000000002</v>
      </c>
      <c r="Q163" s="12">
        <f>SUM(E163:P163)</f>
        <v>1900250.0000000005</v>
      </c>
      <c r="R163" s="11">
        <f t="shared" si="147"/>
        <v>158583.33000000002</v>
      </c>
      <c r="S163" s="11">
        <f t="shared" si="147"/>
        <v>158583.33000000002</v>
      </c>
      <c r="T163" s="11">
        <f t="shared" si="147"/>
        <v>158583.33000000002</v>
      </c>
      <c r="U163" s="11">
        <f t="shared" si="147"/>
        <v>158583.33000000002</v>
      </c>
      <c r="V163" s="11">
        <f>51250+107333.35</f>
        <v>158583.35</v>
      </c>
      <c r="W163" s="11">
        <f>52916.67+105283.33</f>
        <v>158200</v>
      </c>
      <c r="X163" s="11">
        <f t="shared" ref="X163:AH163" si="148">52916.67+105283.33</f>
        <v>158200</v>
      </c>
      <c r="Y163" s="11">
        <f t="shared" si="148"/>
        <v>158200</v>
      </c>
      <c r="Z163" s="11">
        <f t="shared" si="148"/>
        <v>158200</v>
      </c>
      <c r="AA163" s="11">
        <f t="shared" si="148"/>
        <v>158200</v>
      </c>
      <c r="AB163" s="11">
        <f>52916.67+105283.35</f>
        <v>158200.02000000002</v>
      </c>
      <c r="AC163" s="11">
        <f t="shared" si="148"/>
        <v>158200</v>
      </c>
      <c r="AD163" s="12">
        <f>SUM(R163:AC163)</f>
        <v>1900316.69</v>
      </c>
      <c r="AE163" s="11">
        <f t="shared" si="148"/>
        <v>158200</v>
      </c>
      <c r="AF163" s="11">
        <f t="shared" si="148"/>
        <v>158200</v>
      </c>
      <c r="AG163" s="11">
        <f t="shared" si="148"/>
        <v>158200</v>
      </c>
      <c r="AH163" s="11">
        <f t="shared" si="148"/>
        <v>158200</v>
      </c>
      <c r="AI163" s="11">
        <f>52916.63+105283.35</f>
        <v>158199.98000000001</v>
      </c>
      <c r="AJ163" s="12">
        <f>55000+103166.67</f>
        <v>158166.66999999998</v>
      </c>
      <c r="AK163" s="12">
        <f t="shared" ref="AK163:AP163" si="149">55000+103166.67</f>
        <v>158166.66999999998</v>
      </c>
      <c r="AL163" s="12">
        <f t="shared" si="149"/>
        <v>158166.66999999998</v>
      </c>
      <c r="AM163" s="12">
        <f t="shared" si="149"/>
        <v>158166.66999999998</v>
      </c>
      <c r="AN163" s="12">
        <f t="shared" si="149"/>
        <v>158166.66999999998</v>
      </c>
      <c r="AO163" s="12">
        <f>55000+103166.65</f>
        <v>158166.65</v>
      </c>
      <c r="AP163" s="12">
        <f t="shared" si="149"/>
        <v>158166.66999999998</v>
      </c>
      <c r="AQ163" s="3">
        <f>SUM(AE163:AP163)</f>
        <v>1898166.6499999994</v>
      </c>
      <c r="AR163" s="3">
        <f>55000+103166.67</f>
        <v>158166.66999999998</v>
      </c>
      <c r="AS163" s="3">
        <f>55000+103166.67</f>
        <v>158166.66999999998</v>
      </c>
      <c r="AT163" s="3">
        <f>55000+103166.67</f>
        <v>158166.66999999998</v>
      </c>
      <c r="AU163" s="3">
        <f>55000+103166.67</f>
        <v>158166.66999999998</v>
      </c>
      <c r="AV163" s="3">
        <f>55000+103166.65</f>
        <v>158166.65</v>
      </c>
      <c r="AW163" s="3">
        <f>57500+100966.67</f>
        <v>158466.66999999998</v>
      </c>
      <c r="AX163" s="3">
        <f>57500+100966.67</f>
        <v>158466.66999999998</v>
      </c>
      <c r="AY163" s="3">
        <f>57500+100966.67</f>
        <v>158466.66999999998</v>
      </c>
      <c r="AZ163" s="3">
        <f>57500+100966.67</f>
        <v>158466.66999999998</v>
      </c>
      <c r="BA163" s="3">
        <f>57500+100966.67</f>
        <v>158466.66999999998</v>
      </c>
      <c r="BB163" s="3">
        <f>57500+100966.65</f>
        <v>158466.65</v>
      </c>
      <c r="BC163" s="3">
        <f>57500+100966.67</f>
        <v>158466.66999999998</v>
      </c>
      <c r="BD163" s="3">
        <f>SUM(AR163:BC163)</f>
        <v>1900099.9999999995</v>
      </c>
    </row>
    <row r="164" spans="1:56" ht="13.5" thickBot="1" x14ac:dyDescent="0.35">
      <c r="D164" s="13" t="s">
        <v>83</v>
      </c>
      <c r="E164" s="14">
        <f t="shared" ref="E164:P164" si="150">SUM(E161:E163)</f>
        <v>158283.33000000002</v>
      </c>
      <c r="F164" s="14">
        <f t="shared" si="150"/>
        <v>158033.33000000002</v>
      </c>
      <c r="G164" s="14">
        <f t="shared" si="150"/>
        <v>158033.33000000002</v>
      </c>
      <c r="H164" s="14">
        <f t="shared" si="150"/>
        <v>158033.33000000002</v>
      </c>
      <c r="I164" s="14">
        <f t="shared" si="150"/>
        <v>158033.35</v>
      </c>
      <c r="J164" s="14">
        <f t="shared" si="150"/>
        <v>158583.33000000002</v>
      </c>
      <c r="K164" s="14">
        <f t="shared" si="150"/>
        <v>158583.33000000002</v>
      </c>
      <c r="L164" s="14">
        <f t="shared" si="150"/>
        <v>158583.33000000002</v>
      </c>
      <c r="M164" s="14">
        <f t="shared" si="150"/>
        <v>158583.33000000002</v>
      </c>
      <c r="N164" s="14">
        <f t="shared" si="150"/>
        <v>158583.33000000002</v>
      </c>
      <c r="O164" s="14">
        <f t="shared" si="150"/>
        <v>158583.35</v>
      </c>
      <c r="P164" s="14">
        <f t="shared" si="150"/>
        <v>158583.33000000002</v>
      </c>
      <c r="Q164" s="14">
        <f>SUM(Q161:Q163)</f>
        <v>1900500.0000000005</v>
      </c>
      <c r="R164" s="14">
        <f t="shared" ref="R164:AC164" si="151">SUM(R161:R163)</f>
        <v>158833.33000000002</v>
      </c>
      <c r="S164" s="14">
        <f t="shared" si="151"/>
        <v>158583.33000000002</v>
      </c>
      <c r="T164" s="14">
        <f t="shared" si="151"/>
        <v>158583.33000000002</v>
      </c>
      <c r="U164" s="14">
        <f t="shared" si="151"/>
        <v>158583.33000000002</v>
      </c>
      <c r="V164" s="14">
        <f t="shared" si="151"/>
        <v>158583.35</v>
      </c>
      <c r="W164" s="14">
        <f t="shared" si="151"/>
        <v>158200</v>
      </c>
      <c r="X164" s="14">
        <f t="shared" si="151"/>
        <v>158200</v>
      </c>
      <c r="Y164" s="14">
        <f t="shared" si="151"/>
        <v>158200</v>
      </c>
      <c r="Z164" s="14">
        <f t="shared" si="151"/>
        <v>158200</v>
      </c>
      <c r="AA164" s="14">
        <f t="shared" si="151"/>
        <v>158200</v>
      </c>
      <c r="AB164" s="14">
        <f t="shared" si="151"/>
        <v>158200.02000000002</v>
      </c>
      <c r="AC164" s="14">
        <f t="shared" si="151"/>
        <v>158200</v>
      </c>
      <c r="AD164" s="14">
        <f>SUM(AD161:AD163)</f>
        <v>1900566.69</v>
      </c>
      <c r="AE164" s="14">
        <f>SUM(AE161:AE163)</f>
        <v>158450</v>
      </c>
      <c r="AF164" s="14">
        <f>SUM(AF161:AF163)</f>
        <v>158200</v>
      </c>
      <c r="AG164" s="14">
        <f t="shared" ref="AG164:AP164" si="152">SUM(AG161:AG163)</f>
        <v>158200</v>
      </c>
      <c r="AH164" s="14">
        <f t="shared" si="152"/>
        <v>158200</v>
      </c>
      <c r="AI164" s="14">
        <f t="shared" si="152"/>
        <v>158199.98000000001</v>
      </c>
      <c r="AJ164" s="14">
        <f t="shared" si="152"/>
        <v>158166.66999999998</v>
      </c>
      <c r="AK164" s="14">
        <f t="shared" si="152"/>
        <v>158166.66999999998</v>
      </c>
      <c r="AL164" s="14">
        <f t="shared" si="152"/>
        <v>158166.66999999998</v>
      </c>
      <c r="AM164" s="14">
        <f t="shared" si="152"/>
        <v>158166.66999999998</v>
      </c>
      <c r="AN164" s="14">
        <f t="shared" si="152"/>
        <v>158166.66999999998</v>
      </c>
      <c r="AO164" s="14">
        <f t="shared" si="152"/>
        <v>158166.65</v>
      </c>
      <c r="AP164" s="14">
        <f t="shared" si="152"/>
        <v>158166.66999999998</v>
      </c>
      <c r="AQ164" s="22">
        <f>SUM(AQ161:AQ163)</f>
        <v>1898416.6499999994</v>
      </c>
      <c r="AR164" s="22">
        <f t="shared" ref="AR164:BD164" si="153">SUM(AR161:AR163)</f>
        <v>158416.66999999998</v>
      </c>
      <c r="AS164" s="22">
        <f t="shared" si="153"/>
        <v>158166.66999999998</v>
      </c>
      <c r="AT164" s="22">
        <f t="shared" si="153"/>
        <v>158166.66999999998</v>
      </c>
      <c r="AU164" s="22">
        <f t="shared" si="153"/>
        <v>158166.66999999998</v>
      </c>
      <c r="AV164" s="22">
        <f t="shared" si="153"/>
        <v>158166.65</v>
      </c>
      <c r="AW164" s="22">
        <f t="shared" si="153"/>
        <v>158466.66999999998</v>
      </c>
      <c r="AX164" s="22">
        <f t="shared" si="153"/>
        <v>158466.66999999998</v>
      </c>
      <c r="AY164" s="22">
        <f t="shared" si="153"/>
        <v>158466.66999999998</v>
      </c>
      <c r="AZ164" s="22">
        <f t="shared" si="153"/>
        <v>158466.66999999998</v>
      </c>
      <c r="BA164" s="22">
        <f t="shared" si="153"/>
        <v>158466.66999999998</v>
      </c>
      <c r="BB164" s="22">
        <f t="shared" si="153"/>
        <v>158466.65</v>
      </c>
      <c r="BC164" s="22">
        <f t="shared" si="153"/>
        <v>158466.66999999998</v>
      </c>
      <c r="BD164" s="22">
        <f t="shared" si="153"/>
        <v>1900349.9999999995</v>
      </c>
    </row>
    <row r="165" spans="1:56" x14ac:dyDescent="0.3">
      <c r="D165" s="15"/>
    </row>
    <row r="166" spans="1:56" ht="15.5" x14ac:dyDescent="0.35">
      <c r="B166" s="20"/>
      <c r="C166" s="30" t="s">
        <v>6</v>
      </c>
      <c r="D166" s="10" t="s">
        <v>84</v>
      </c>
    </row>
    <row r="167" spans="1:56" x14ac:dyDescent="0.3">
      <c r="D167" s="8" t="s">
        <v>8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/>
      <c r="Q167" s="12">
        <f>SUM(E167:P167)</f>
        <v>0</v>
      </c>
    </row>
    <row r="168" spans="1:56" x14ac:dyDescent="0.3">
      <c r="D168" s="8" t="s">
        <v>9</v>
      </c>
      <c r="E168" s="11">
        <v>250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2">
        <f>SUM(E168:P168)</f>
        <v>250</v>
      </c>
    </row>
    <row r="169" spans="1:56" ht="13.5" thickBot="1" x14ac:dyDescent="0.35">
      <c r="D169" s="8" t="s">
        <v>10</v>
      </c>
      <c r="E169" s="11">
        <f t="shared" ref="E169:M169" si="154">20416.67+46731.77</f>
        <v>67148.44</v>
      </c>
      <c r="F169" s="11">
        <f t="shared" si="154"/>
        <v>67148.44</v>
      </c>
      <c r="G169" s="11">
        <f t="shared" si="154"/>
        <v>67148.44</v>
      </c>
      <c r="H169" s="11">
        <f t="shared" si="154"/>
        <v>67148.44</v>
      </c>
      <c r="I169" s="11">
        <f t="shared" si="154"/>
        <v>67148.44</v>
      </c>
      <c r="J169" s="11">
        <f t="shared" si="154"/>
        <v>67148.44</v>
      </c>
      <c r="K169" s="11">
        <f t="shared" si="154"/>
        <v>67148.44</v>
      </c>
      <c r="L169" s="11">
        <f t="shared" si="154"/>
        <v>67148.44</v>
      </c>
      <c r="M169" s="11">
        <f t="shared" si="154"/>
        <v>67148.44</v>
      </c>
      <c r="N169" s="11">
        <f>21250+45813.02</f>
        <v>67063.01999999999</v>
      </c>
      <c r="O169" s="11">
        <f>21250+45813.02</f>
        <v>67063.01999999999</v>
      </c>
      <c r="P169" s="11"/>
      <c r="Q169" s="12">
        <f>SUM(E169:P169)</f>
        <v>738462</v>
      </c>
    </row>
    <row r="170" spans="1:56" ht="13.5" thickBot="1" x14ac:dyDescent="0.35">
      <c r="D170" s="13" t="s">
        <v>85</v>
      </c>
      <c r="E170" s="14">
        <f t="shared" ref="E170:P170" si="155">SUM(E167:E169)</f>
        <v>67398.44</v>
      </c>
      <c r="F170" s="14">
        <f t="shared" si="155"/>
        <v>67148.44</v>
      </c>
      <c r="G170" s="14">
        <f t="shared" si="155"/>
        <v>67148.44</v>
      </c>
      <c r="H170" s="14">
        <f t="shared" si="155"/>
        <v>67148.44</v>
      </c>
      <c r="I170" s="14">
        <f t="shared" si="155"/>
        <v>67148.44</v>
      </c>
      <c r="J170" s="14">
        <f t="shared" si="155"/>
        <v>67148.44</v>
      </c>
      <c r="K170" s="14">
        <f t="shared" si="155"/>
        <v>67148.44</v>
      </c>
      <c r="L170" s="14">
        <f t="shared" si="155"/>
        <v>67148.44</v>
      </c>
      <c r="M170" s="14">
        <f t="shared" si="155"/>
        <v>67148.44</v>
      </c>
      <c r="N170" s="14">
        <f t="shared" si="155"/>
        <v>67063.01999999999</v>
      </c>
      <c r="O170" s="14">
        <f t="shared" si="155"/>
        <v>67063.01999999999</v>
      </c>
      <c r="P170" s="14">
        <f t="shared" si="155"/>
        <v>0</v>
      </c>
      <c r="Q170" s="14">
        <f>SUM(Q167:Q169)</f>
        <v>738712</v>
      </c>
    </row>
    <row r="171" spans="1:56" x14ac:dyDescent="0.3">
      <c r="D171" s="15"/>
    </row>
    <row r="172" spans="1:56" ht="15.5" x14ac:dyDescent="0.35">
      <c r="B172" s="20">
        <f>+B160+1</f>
        <v>22</v>
      </c>
      <c r="C172" s="1" t="s">
        <v>14</v>
      </c>
      <c r="D172" s="25" t="s">
        <v>86</v>
      </c>
    </row>
    <row r="173" spans="1:56" x14ac:dyDescent="0.3">
      <c r="D173" s="8" t="s">
        <v>8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f>SUM(E173:P173)</f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f>SUM(R173:AC173)</f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3">
        <f>SUM(AE173:AP173)</f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f>SUM(AR173:BC173)</f>
        <v>0</v>
      </c>
    </row>
    <row r="174" spans="1:56" x14ac:dyDescent="0.3">
      <c r="D174" s="8" t="s">
        <v>9</v>
      </c>
      <c r="E174" s="11">
        <v>250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2">
        <f>SUM(E174:P174)</f>
        <v>250</v>
      </c>
      <c r="R174" s="11">
        <v>250</v>
      </c>
      <c r="AD174" s="12">
        <f>SUM(R174:AC174)</f>
        <v>250</v>
      </c>
      <c r="AE174" s="11">
        <v>250</v>
      </c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3">
        <f>SUM(AE174:AP174)</f>
        <v>250</v>
      </c>
      <c r="AR174" s="3">
        <v>250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f>SUM(AR174:BC174)</f>
        <v>250</v>
      </c>
    </row>
    <row r="175" spans="1:56" ht="13.5" thickBot="1" x14ac:dyDescent="0.35">
      <c r="A175" t="s">
        <v>87</v>
      </c>
      <c r="D175" s="8" t="s">
        <v>10</v>
      </c>
      <c r="E175" s="11">
        <f t="shared" ref="E175:O175" si="156">18750+43002.61</f>
        <v>61752.61</v>
      </c>
      <c r="F175" s="11">
        <f t="shared" si="156"/>
        <v>61752.61</v>
      </c>
      <c r="G175" s="11">
        <f t="shared" si="156"/>
        <v>61752.61</v>
      </c>
      <c r="H175" s="11">
        <f t="shared" si="156"/>
        <v>61752.61</v>
      </c>
      <c r="I175" s="11">
        <f t="shared" si="156"/>
        <v>61752.61</v>
      </c>
      <c r="J175" s="11">
        <f t="shared" si="156"/>
        <v>61752.61</v>
      </c>
      <c r="K175" s="11">
        <f t="shared" si="156"/>
        <v>61752.61</v>
      </c>
      <c r="L175" s="11">
        <f t="shared" si="156"/>
        <v>61752.61</v>
      </c>
      <c r="M175" s="11">
        <f t="shared" si="156"/>
        <v>61752.61</v>
      </c>
      <c r="N175" s="11">
        <f t="shared" si="156"/>
        <v>61752.61</v>
      </c>
      <c r="O175" s="11">
        <f t="shared" si="156"/>
        <v>61752.61</v>
      </c>
      <c r="P175" s="11">
        <f>19166.67+42229.17</f>
        <v>61395.839999999997</v>
      </c>
      <c r="Q175" s="12">
        <f>SUM(E175:P175)</f>
        <v>740674.54999999993</v>
      </c>
      <c r="R175" s="11">
        <f t="shared" ref="R175:AB175" si="157">19166.67+42229.17</f>
        <v>61395.839999999997</v>
      </c>
      <c r="S175" s="11">
        <f t="shared" si="157"/>
        <v>61395.839999999997</v>
      </c>
      <c r="T175" s="11">
        <f t="shared" si="157"/>
        <v>61395.839999999997</v>
      </c>
      <c r="U175" s="11">
        <f t="shared" si="157"/>
        <v>61395.839999999997</v>
      </c>
      <c r="V175" s="11">
        <f t="shared" si="157"/>
        <v>61395.839999999997</v>
      </c>
      <c r="W175" s="11">
        <f t="shared" si="157"/>
        <v>61395.839999999997</v>
      </c>
      <c r="X175" s="11">
        <f t="shared" si="157"/>
        <v>61395.839999999997</v>
      </c>
      <c r="Y175" s="11">
        <f t="shared" si="157"/>
        <v>61395.839999999997</v>
      </c>
      <c r="Z175" s="11">
        <f t="shared" si="157"/>
        <v>61395.839999999997</v>
      </c>
      <c r="AA175" s="11">
        <f t="shared" si="157"/>
        <v>61395.839999999997</v>
      </c>
      <c r="AB175" s="11">
        <f t="shared" si="157"/>
        <v>61395.839999999997</v>
      </c>
      <c r="AC175" s="11">
        <f>20000+41438.54</f>
        <v>61438.54</v>
      </c>
      <c r="AD175" s="12">
        <f>SUM(R175:AC175)</f>
        <v>736792.7799999998</v>
      </c>
      <c r="AE175" s="11">
        <f t="shared" ref="AE175:AO175" si="158">20000+41438.54</f>
        <v>61438.54</v>
      </c>
      <c r="AF175" s="11">
        <f t="shared" si="158"/>
        <v>61438.54</v>
      </c>
      <c r="AG175" s="11">
        <f t="shared" si="158"/>
        <v>61438.54</v>
      </c>
      <c r="AH175" s="11">
        <f t="shared" si="158"/>
        <v>61438.54</v>
      </c>
      <c r="AI175" s="11">
        <f t="shared" si="158"/>
        <v>61438.54</v>
      </c>
      <c r="AJ175" s="11">
        <f t="shared" si="158"/>
        <v>61438.54</v>
      </c>
      <c r="AK175" s="11">
        <f t="shared" si="158"/>
        <v>61438.54</v>
      </c>
      <c r="AL175" s="11">
        <f t="shared" si="158"/>
        <v>61438.54</v>
      </c>
      <c r="AM175" s="11">
        <f t="shared" si="158"/>
        <v>61438.54</v>
      </c>
      <c r="AN175" s="11">
        <f t="shared" si="158"/>
        <v>61438.54</v>
      </c>
      <c r="AO175" s="11">
        <f t="shared" si="158"/>
        <v>61438.54</v>
      </c>
      <c r="AP175" s="12">
        <f>20833.33+40613.54</f>
        <v>61446.87</v>
      </c>
      <c r="AQ175" s="3">
        <f>SUM(AE175:AP175)</f>
        <v>737270.81</v>
      </c>
      <c r="AR175" s="3">
        <f>20833.33+40613.54</f>
        <v>61446.87</v>
      </c>
      <c r="AS175" s="3">
        <f t="shared" ref="AS175:BB175" si="159">20833.33+40613.54</f>
        <v>61446.87</v>
      </c>
      <c r="AT175" s="3">
        <f t="shared" si="159"/>
        <v>61446.87</v>
      </c>
      <c r="AU175" s="3">
        <f t="shared" si="159"/>
        <v>61446.87</v>
      </c>
      <c r="AV175" s="3">
        <f t="shared" si="159"/>
        <v>61446.87</v>
      </c>
      <c r="AW175" s="3">
        <f t="shared" si="159"/>
        <v>61446.87</v>
      </c>
      <c r="AX175" s="3">
        <f t="shared" si="159"/>
        <v>61446.87</v>
      </c>
      <c r="AY175" s="3">
        <f t="shared" si="159"/>
        <v>61446.87</v>
      </c>
      <c r="AZ175" s="3">
        <f t="shared" si="159"/>
        <v>61446.87</v>
      </c>
      <c r="BA175" s="3">
        <f t="shared" si="159"/>
        <v>61446.87</v>
      </c>
      <c r="BB175" s="3">
        <f t="shared" si="159"/>
        <v>61446.87</v>
      </c>
      <c r="BC175" s="3">
        <f>21666.67+39754.17</f>
        <v>61420.84</v>
      </c>
      <c r="BD175" s="3">
        <f>SUM(AR175:BC175)</f>
        <v>737336.41</v>
      </c>
    </row>
    <row r="176" spans="1:56" ht="13.5" thickBot="1" x14ac:dyDescent="0.35">
      <c r="D176" s="13" t="s">
        <v>88</v>
      </c>
      <c r="E176" s="14">
        <f t="shared" ref="E176:P176" si="160">SUM(E173:E175)</f>
        <v>62002.61</v>
      </c>
      <c r="F176" s="14">
        <f t="shared" si="160"/>
        <v>61752.61</v>
      </c>
      <c r="G176" s="14">
        <f t="shared" si="160"/>
        <v>61752.61</v>
      </c>
      <c r="H176" s="14">
        <f t="shared" si="160"/>
        <v>61752.61</v>
      </c>
      <c r="I176" s="14">
        <f t="shared" si="160"/>
        <v>61752.61</v>
      </c>
      <c r="J176" s="14">
        <f t="shared" si="160"/>
        <v>61752.61</v>
      </c>
      <c r="K176" s="14">
        <f t="shared" si="160"/>
        <v>61752.61</v>
      </c>
      <c r="L176" s="14">
        <f t="shared" si="160"/>
        <v>61752.61</v>
      </c>
      <c r="M176" s="14">
        <f t="shared" si="160"/>
        <v>61752.61</v>
      </c>
      <c r="N176" s="14">
        <f t="shared" si="160"/>
        <v>61752.61</v>
      </c>
      <c r="O176" s="14">
        <f t="shared" si="160"/>
        <v>61752.61</v>
      </c>
      <c r="P176" s="14">
        <f t="shared" si="160"/>
        <v>61395.839999999997</v>
      </c>
      <c r="Q176" s="14">
        <f>SUM(Q173:Q175)</f>
        <v>740924.54999999993</v>
      </c>
      <c r="R176" s="14">
        <f t="shared" ref="R176:AC176" si="161">SUM(R173:R175)</f>
        <v>61645.84</v>
      </c>
      <c r="S176" s="14">
        <f t="shared" si="161"/>
        <v>61395.839999999997</v>
      </c>
      <c r="T176" s="14">
        <f t="shared" si="161"/>
        <v>61395.839999999997</v>
      </c>
      <c r="U176" s="14">
        <f t="shared" si="161"/>
        <v>61395.839999999997</v>
      </c>
      <c r="V176" s="14">
        <f t="shared" si="161"/>
        <v>61395.839999999997</v>
      </c>
      <c r="W176" s="14">
        <f t="shared" si="161"/>
        <v>61395.839999999997</v>
      </c>
      <c r="X176" s="14">
        <f t="shared" si="161"/>
        <v>61395.839999999997</v>
      </c>
      <c r="Y176" s="14">
        <f t="shared" si="161"/>
        <v>61395.839999999997</v>
      </c>
      <c r="Z176" s="14">
        <f t="shared" si="161"/>
        <v>61395.839999999997</v>
      </c>
      <c r="AA176" s="14">
        <f t="shared" si="161"/>
        <v>61395.839999999997</v>
      </c>
      <c r="AB176" s="14">
        <f t="shared" si="161"/>
        <v>61395.839999999997</v>
      </c>
      <c r="AC176" s="14">
        <f t="shared" si="161"/>
        <v>61438.54</v>
      </c>
      <c r="AD176" s="14">
        <f>SUM(AD173:AD175)</f>
        <v>737042.7799999998</v>
      </c>
      <c r="AE176" s="14">
        <f>SUM(AE173:AE175)</f>
        <v>61688.54</v>
      </c>
      <c r="AF176" s="14">
        <f>SUM(AF173:AF175)</f>
        <v>61438.54</v>
      </c>
      <c r="AG176" s="14">
        <f t="shared" ref="AG176:AP176" si="162">SUM(AG173:AG175)</f>
        <v>61438.54</v>
      </c>
      <c r="AH176" s="14">
        <f t="shared" si="162"/>
        <v>61438.54</v>
      </c>
      <c r="AI176" s="14">
        <f t="shared" si="162"/>
        <v>61438.54</v>
      </c>
      <c r="AJ176" s="14">
        <f t="shared" si="162"/>
        <v>61438.54</v>
      </c>
      <c r="AK176" s="14">
        <f t="shared" si="162"/>
        <v>61438.54</v>
      </c>
      <c r="AL176" s="14">
        <f t="shared" si="162"/>
        <v>61438.54</v>
      </c>
      <c r="AM176" s="14">
        <f t="shared" si="162"/>
        <v>61438.54</v>
      </c>
      <c r="AN176" s="14">
        <f t="shared" si="162"/>
        <v>61438.54</v>
      </c>
      <c r="AO176" s="14">
        <f t="shared" si="162"/>
        <v>61438.54</v>
      </c>
      <c r="AP176" s="14">
        <f t="shared" si="162"/>
        <v>61446.87</v>
      </c>
      <c r="AQ176" s="22">
        <f>SUM(AQ173:AQ175)</f>
        <v>737520.81</v>
      </c>
      <c r="AR176" s="22">
        <f t="shared" ref="AR176:BD176" si="163">SUM(AR173:AR175)</f>
        <v>61696.87</v>
      </c>
      <c r="AS176" s="22">
        <f t="shared" si="163"/>
        <v>61446.87</v>
      </c>
      <c r="AT176" s="22">
        <f t="shared" si="163"/>
        <v>61446.87</v>
      </c>
      <c r="AU176" s="22">
        <f t="shared" si="163"/>
        <v>61446.87</v>
      </c>
      <c r="AV176" s="22">
        <f t="shared" si="163"/>
        <v>61446.87</v>
      </c>
      <c r="AW176" s="22">
        <f t="shared" si="163"/>
        <v>61446.87</v>
      </c>
      <c r="AX176" s="22">
        <f t="shared" si="163"/>
        <v>61446.87</v>
      </c>
      <c r="AY176" s="22">
        <f t="shared" si="163"/>
        <v>61446.87</v>
      </c>
      <c r="AZ176" s="22">
        <f t="shared" si="163"/>
        <v>61446.87</v>
      </c>
      <c r="BA176" s="22">
        <f t="shared" si="163"/>
        <v>61446.87</v>
      </c>
      <c r="BB176" s="22">
        <f t="shared" si="163"/>
        <v>61446.87</v>
      </c>
      <c r="BC176" s="22">
        <f t="shared" si="163"/>
        <v>61420.84</v>
      </c>
      <c r="BD176" s="22">
        <f t="shared" si="163"/>
        <v>737586.41</v>
      </c>
    </row>
    <row r="177" spans="1:56" x14ac:dyDescent="0.3">
      <c r="D177" s="15"/>
    </row>
    <row r="178" spans="1:56" ht="15.5" x14ac:dyDescent="0.35">
      <c r="B178" s="20">
        <f>+B172+1</f>
        <v>23</v>
      </c>
      <c r="C178" s="1" t="s">
        <v>14</v>
      </c>
      <c r="D178" s="25" t="s">
        <v>89</v>
      </c>
    </row>
    <row r="179" spans="1:56" x14ac:dyDescent="0.3">
      <c r="D179" s="8" t="s">
        <v>8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f>SUM(E179:P179)</f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f>SUM(R179:AC179)</f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3">
        <f>SUM(AE179:AP179)</f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f>SUM(AR179:BC179)</f>
        <v>0</v>
      </c>
    </row>
    <row r="180" spans="1:56" x14ac:dyDescent="0.3">
      <c r="D180" s="8" t="s">
        <v>9</v>
      </c>
      <c r="E180" s="11">
        <v>250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2">
        <f>SUM(E180:P180)</f>
        <v>250</v>
      </c>
      <c r="R180" s="11">
        <v>250</v>
      </c>
      <c r="AD180" s="12">
        <f>SUM(R180:AC180)</f>
        <v>250</v>
      </c>
      <c r="AE180" s="11">
        <v>250</v>
      </c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3">
        <f>SUM(AE180:AP180)</f>
        <v>250</v>
      </c>
      <c r="AR180" s="3">
        <v>250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f>SUM(AR180:BC180)</f>
        <v>250</v>
      </c>
    </row>
    <row r="181" spans="1:56" ht="13.5" thickBot="1" x14ac:dyDescent="0.35">
      <c r="A181" t="s">
        <v>90</v>
      </c>
      <c r="D181" s="8" t="s">
        <v>10</v>
      </c>
      <c r="E181" s="11">
        <f>49215+46837.41</f>
        <v>96052.41</v>
      </c>
      <c r="F181" s="11">
        <f>50888.33+45164.1</f>
        <v>96052.43</v>
      </c>
      <c r="G181" s="11">
        <f t="shared" ref="G181:R181" si="164">50888.33+45164.1</f>
        <v>96052.43</v>
      </c>
      <c r="H181" s="11">
        <f t="shared" si="164"/>
        <v>96052.43</v>
      </c>
      <c r="I181" s="11">
        <f t="shared" si="164"/>
        <v>96052.43</v>
      </c>
      <c r="J181" s="11">
        <f t="shared" si="164"/>
        <v>96052.43</v>
      </c>
      <c r="K181" s="11">
        <f t="shared" si="164"/>
        <v>96052.43</v>
      </c>
      <c r="L181" s="11">
        <f t="shared" si="164"/>
        <v>96052.43</v>
      </c>
      <c r="M181" s="11">
        <f t="shared" si="164"/>
        <v>96052.43</v>
      </c>
      <c r="N181" s="11">
        <f t="shared" si="164"/>
        <v>96052.43</v>
      </c>
      <c r="O181" s="11">
        <f t="shared" si="164"/>
        <v>96052.43</v>
      </c>
      <c r="P181" s="11">
        <f t="shared" si="164"/>
        <v>96052.43</v>
      </c>
      <c r="Q181" s="12">
        <f>SUM(E181:P181)</f>
        <v>1152629.1399999997</v>
      </c>
      <c r="R181" s="11">
        <f t="shared" si="164"/>
        <v>96052.43</v>
      </c>
      <c r="S181" s="11">
        <f>52618.33+43433.9</f>
        <v>96052.23000000001</v>
      </c>
      <c r="T181" s="11">
        <f t="shared" ref="T181:AE181" si="165">52618.33+43433.9</f>
        <v>96052.23000000001</v>
      </c>
      <c r="U181" s="11">
        <f t="shared" si="165"/>
        <v>96052.23000000001</v>
      </c>
      <c r="V181" s="11">
        <f t="shared" si="165"/>
        <v>96052.23000000001</v>
      </c>
      <c r="W181" s="11">
        <f t="shared" si="165"/>
        <v>96052.23000000001</v>
      </c>
      <c r="X181" s="11">
        <f t="shared" si="165"/>
        <v>96052.23000000001</v>
      </c>
      <c r="Y181" s="11">
        <f t="shared" si="165"/>
        <v>96052.23000000001</v>
      </c>
      <c r="Z181" s="11">
        <f t="shared" si="165"/>
        <v>96052.23000000001</v>
      </c>
      <c r="AA181" s="11">
        <f t="shared" si="165"/>
        <v>96052.23000000001</v>
      </c>
      <c r="AB181" s="11">
        <f t="shared" si="165"/>
        <v>96052.23000000001</v>
      </c>
      <c r="AC181" s="11">
        <f t="shared" si="165"/>
        <v>96052.23000000001</v>
      </c>
      <c r="AD181" s="12">
        <f>SUM(R181:AC181)</f>
        <v>1152626.96</v>
      </c>
      <c r="AE181" s="11">
        <f t="shared" si="165"/>
        <v>96052.23000000001</v>
      </c>
      <c r="AF181" s="12">
        <f>54407.5+41644.87</f>
        <v>96052.37</v>
      </c>
      <c r="AG181" s="12">
        <f t="shared" ref="AG181:AP181" si="166">54407.5+41644.87</f>
        <v>96052.37</v>
      </c>
      <c r="AH181" s="12">
        <f t="shared" si="166"/>
        <v>96052.37</v>
      </c>
      <c r="AI181" s="12">
        <f t="shared" si="166"/>
        <v>96052.37</v>
      </c>
      <c r="AJ181" s="12">
        <f t="shared" si="166"/>
        <v>96052.37</v>
      </c>
      <c r="AK181" s="12">
        <f t="shared" si="166"/>
        <v>96052.37</v>
      </c>
      <c r="AL181" s="12">
        <f t="shared" si="166"/>
        <v>96052.37</v>
      </c>
      <c r="AM181" s="12">
        <f t="shared" si="166"/>
        <v>96052.37</v>
      </c>
      <c r="AN181" s="12">
        <f t="shared" si="166"/>
        <v>96052.37</v>
      </c>
      <c r="AO181" s="12">
        <f t="shared" si="166"/>
        <v>96052.37</v>
      </c>
      <c r="AP181" s="12">
        <f t="shared" si="166"/>
        <v>96052.37</v>
      </c>
      <c r="AQ181" s="3">
        <f>SUM(AE181:AP181)</f>
        <v>1152628.2999999998</v>
      </c>
      <c r="AR181" s="3">
        <f>54407.5+41644.87</f>
        <v>96052.37</v>
      </c>
      <c r="AS181" s="3">
        <f>56257.5+39795.02</f>
        <v>96052.51999999999</v>
      </c>
      <c r="AT181" s="3">
        <f t="shared" ref="AT181:BC181" si="167">56257.5+39795.02</f>
        <v>96052.51999999999</v>
      </c>
      <c r="AU181" s="3">
        <f t="shared" si="167"/>
        <v>96052.51999999999</v>
      </c>
      <c r="AV181" s="3">
        <f t="shared" si="167"/>
        <v>96052.51999999999</v>
      </c>
      <c r="AW181" s="3">
        <f t="shared" si="167"/>
        <v>96052.51999999999</v>
      </c>
      <c r="AX181" s="3">
        <f t="shared" si="167"/>
        <v>96052.51999999999</v>
      </c>
      <c r="AY181" s="3">
        <f t="shared" si="167"/>
        <v>96052.51999999999</v>
      </c>
      <c r="AZ181" s="3">
        <f t="shared" si="167"/>
        <v>96052.51999999999</v>
      </c>
      <c r="BA181" s="3">
        <f t="shared" si="167"/>
        <v>96052.51999999999</v>
      </c>
      <c r="BB181" s="3">
        <f t="shared" si="167"/>
        <v>96052.51999999999</v>
      </c>
      <c r="BC181" s="3">
        <f t="shared" si="167"/>
        <v>96052.51999999999</v>
      </c>
      <c r="BD181" s="3">
        <f>SUM(AR181:BC181)</f>
        <v>1152630.0900000001</v>
      </c>
    </row>
    <row r="182" spans="1:56" ht="13.5" thickBot="1" x14ac:dyDescent="0.35">
      <c r="D182" s="13" t="s">
        <v>91</v>
      </c>
      <c r="E182" s="14">
        <f t="shared" ref="E182:P182" si="168">SUM(E179:E181)</f>
        <v>96302.41</v>
      </c>
      <c r="F182" s="14">
        <f t="shared" si="168"/>
        <v>96052.43</v>
      </c>
      <c r="G182" s="14">
        <f t="shared" si="168"/>
        <v>96052.43</v>
      </c>
      <c r="H182" s="14">
        <f t="shared" si="168"/>
        <v>96052.43</v>
      </c>
      <c r="I182" s="14">
        <f t="shared" si="168"/>
        <v>96052.43</v>
      </c>
      <c r="J182" s="14">
        <f t="shared" si="168"/>
        <v>96052.43</v>
      </c>
      <c r="K182" s="14">
        <f t="shared" si="168"/>
        <v>96052.43</v>
      </c>
      <c r="L182" s="14">
        <f t="shared" si="168"/>
        <v>96052.43</v>
      </c>
      <c r="M182" s="14">
        <f t="shared" si="168"/>
        <v>96052.43</v>
      </c>
      <c r="N182" s="14">
        <f t="shared" si="168"/>
        <v>96052.43</v>
      </c>
      <c r="O182" s="14">
        <f t="shared" si="168"/>
        <v>96052.43</v>
      </c>
      <c r="P182" s="14">
        <f t="shared" si="168"/>
        <v>96052.43</v>
      </c>
      <c r="Q182" s="14">
        <f>SUM(Q179:Q181)</f>
        <v>1152879.1399999997</v>
      </c>
      <c r="R182" s="14">
        <f t="shared" ref="R182:AC182" si="169">SUM(R179:R181)</f>
        <v>96302.43</v>
      </c>
      <c r="S182" s="14">
        <f t="shared" si="169"/>
        <v>96052.23000000001</v>
      </c>
      <c r="T182" s="14">
        <f t="shared" si="169"/>
        <v>96052.23000000001</v>
      </c>
      <c r="U182" s="14">
        <f t="shared" si="169"/>
        <v>96052.23000000001</v>
      </c>
      <c r="V182" s="14">
        <f t="shared" si="169"/>
        <v>96052.23000000001</v>
      </c>
      <c r="W182" s="14">
        <f t="shared" si="169"/>
        <v>96052.23000000001</v>
      </c>
      <c r="X182" s="14">
        <f t="shared" si="169"/>
        <v>96052.23000000001</v>
      </c>
      <c r="Y182" s="14">
        <f t="shared" si="169"/>
        <v>96052.23000000001</v>
      </c>
      <c r="Z182" s="14">
        <f t="shared" si="169"/>
        <v>96052.23000000001</v>
      </c>
      <c r="AA182" s="14">
        <f t="shared" si="169"/>
        <v>96052.23000000001</v>
      </c>
      <c r="AB182" s="14">
        <f t="shared" si="169"/>
        <v>96052.23000000001</v>
      </c>
      <c r="AC182" s="14">
        <f t="shared" si="169"/>
        <v>96052.23000000001</v>
      </c>
      <c r="AD182" s="14">
        <f>SUM(AD179:AD181)</f>
        <v>1152876.96</v>
      </c>
      <c r="AE182" s="14">
        <f>SUM(AE179:AE181)</f>
        <v>96302.23000000001</v>
      </c>
      <c r="AF182" s="14">
        <f>SUM(AF179:AF181)</f>
        <v>96052.37</v>
      </c>
      <c r="AG182" s="14">
        <f t="shared" ref="AG182:AP182" si="170">SUM(AG179:AG181)</f>
        <v>96052.37</v>
      </c>
      <c r="AH182" s="14">
        <f t="shared" si="170"/>
        <v>96052.37</v>
      </c>
      <c r="AI182" s="14">
        <f t="shared" si="170"/>
        <v>96052.37</v>
      </c>
      <c r="AJ182" s="14">
        <f t="shared" si="170"/>
        <v>96052.37</v>
      </c>
      <c r="AK182" s="14">
        <f t="shared" si="170"/>
        <v>96052.37</v>
      </c>
      <c r="AL182" s="14">
        <f t="shared" si="170"/>
        <v>96052.37</v>
      </c>
      <c r="AM182" s="14">
        <f t="shared" si="170"/>
        <v>96052.37</v>
      </c>
      <c r="AN182" s="14">
        <f t="shared" si="170"/>
        <v>96052.37</v>
      </c>
      <c r="AO182" s="14">
        <f t="shared" si="170"/>
        <v>96052.37</v>
      </c>
      <c r="AP182" s="14">
        <f t="shared" si="170"/>
        <v>96052.37</v>
      </c>
      <c r="AQ182" s="22">
        <f>SUM(AQ179:AQ181)</f>
        <v>1152878.2999999998</v>
      </c>
      <c r="AR182" s="22">
        <f t="shared" ref="AR182:BD182" si="171">SUM(AR179:AR181)</f>
        <v>96302.37</v>
      </c>
      <c r="AS182" s="22">
        <f t="shared" si="171"/>
        <v>96052.51999999999</v>
      </c>
      <c r="AT182" s="22">
        <f t="shared" si="171"/>
        <v>96052.51999999999</v>
      </c>
      <c r="AU182" s="22">
        <f t="shared" si="171"/>
        <v>96052.51999999999</v>
      </c>
      <c r="AV182" s="22">
        <f t="shared" si="171"/>
        <v>96052.51999999999</v>
      </c>
      <c r="AW182" s="22">
        <f t="shared" si="171"/>
        <v>96052.51999999999</v>
      </c>
      <c r="AX182" s="22">
        <f t="shared" si="171"/>
        <v>96052.51999999999</v>
      </c>
      <c r="AY182" s="22">
        <f t="shared" si="171"/>
        <v>96052.51999999999</v>
      </c>
      <c r="AZ182" s="22">
        <f t="shared" si="171"/>
        <v>96052.51999999999</v>
      </c>
      <c r="BA182" s="22">
        <f t="shared" si="171"/>
        <v>96052.51999999999</v>
      </c>
      <c r="BB182" s="22">
        <f t="shared" si="171"/>
        <v>96052.51999999999</v>
      </c>
      <c r="BC182" s="22">
        <f t="shared" si="171"/>
        <v>96052.51999999999</v>
      </c>
      <c r="BD182" s="22">
        <f t="shared" si="171"/>
        <v>1152880.0900000001</v>
      </c>
    </row>
    <row r="183" spans="1:56" x14ac:dyDescent="0.3">
      <c r="D183" s="15"/>
    </row>
    <row r="184" spans="1:56" ht="15.5" x14ac:dyDescent="0.35">
      <c r="C184" s="24" t="s">
        <v>14</v>
      </c>
      <c r="D184" s="10" t="s">
        <v>49</v>
      </c>
    </row>
    <row r="185" spans="1:56" x14ac:dyDescent="0.3">
      <c r="D185" s="8" t="s">
        <v>8</v>
      </c>
      <c r="E185" s="26">
        <v>232.5</v>
      </c>
      <c r="F185" s="26">
        <v>232.5</v>
      </c>
      <c r="G185" s="26">
        <v>232.5</v>
      </c>
      <c r="H185" s="26">
        <v>232.5</v>
      </c>
      <c r="I185" s="26">
        <v>232.5</v>
      </c>
      <c r="J185" s="26">
        <v>226.25</v>
      </c>
      <c r="K185" s="26">
        <v>226.25</v>
      </c>
      <c r="L185" s="26">
        <v>226.25</v>
      </c>
      <c r="M185" s="26">
        <v>226.25</v>
      </c>
      <c r="N185" s="26">
        <v>226.25</v>
      </c>
      <c r="O185" s="26">
        <v>226.25</v>
      </c>
      <c r="P185" s="26">
        <v>226.25</v>
      </c>
      <c r="Q185" s="12">
        <f>SUM(E185:P185)</f>
        <v>2746.25</v>
      </c>
      <c r="R185" s="26">
        <v>226.25</v>
      </c>
      <c r="S185" s="26">
        <v>226.25</v>
      </c>
      <c r="T185" s="26">
        <v>226.25</v>
      </c>
      <c r="U185" s="26">
        <v>226.25</v>
      </c>
      <c r="V185" s="26">
        <v>226.25</v>
      </c>
      <c r="W185" s="26">
        <v>220</v>
      </c>
      <c r="X185" s="26">
        <v>220</v>
      </c>
      <c r="Y185" s="26">
        <v>220</v>
      </c>
      <c r="Z185" s="26">
        <v>220</v>
      </c>
      <c r="AA185" s="26">
        <v>220</v>
      </c>
      <c r="AB185" s="26">
        <v>220</v>
      </c>
      <c r="AC185" s="26">
        <v>220</v>
      </c>
      <c r="AD185" s="12">
        <f>SUM(R185:AC185)</f>
        <v>2671.25</v>
      </c>
      <c r="AE185" s="26">
        <v>220</v>
      </c>
      <c r="AF185" s="26">
        <v>220</v>
      </c>
      <c r="AG185" s="26">
        <v>220</v>
      </c>
      <c r="AH185" s="26">
        <v>220</v>
      </c>
      <c r="AI185" s="26">
        <v>220</v>
      </c>
      <c r="AJ185" s="12">
        <v>213.75</v>
      </c>
      <c r="AK185" s="12">
        <v>213.75</v>
      </c>
      <c r="AL185" s="12">
        <v>213.75</v>
      </c>
      <c r="AM185" s="12">
        <v>213.75</v>
      </c>
      <c r="AN185" s="12">
        <v>213.75</v>
      </c>
      <c r="AO185" s="12">
        <v>213.75</v>
      </c>
      <c r="AP185" s="12">
        <v>213.75</v>
      </c>
      <c r="AQ185" s="3">
        <f>SUM(AE185:AP185)</f>
        <v>2596.25</v>
      </c>
      <c r="AR185" s="3">
        <v>213.75</v>
      </c>
      <c r="AS185" s="3">
        <v>213.75</v>
      </c>
      <c r="AT185" s="3">
        <v>213.75</v>
      </c>
      <c r="AU185" s="3">
        <v>213.75</v>
      </c>
      <c r="AV185" s="3">
        <v>213.75</v>
      </c>
      <c r="AW185" s="60">
        <f>207.08+155.31-362.39</f>
        <v>0</v>
      </c>
      <c r="BD185" s="3">
        <f>SUM(AR185:BC185)</f>
        <v>1068.75</v>
      </c>
    </row>
    <row r="186" spans="1:56" x14ac:dyDescent="0.3">
      <c r="D186" s="8" t="s">
        <v>9</v>
      </c>
      <c r="E186" s="26">
        <v>250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12">
        <f>SUM(E186:P186)</f>
        <v>250</v>
      </c>
      <c r="R186" s="26">
        <v>250</v>
      </c>
      <c r="AD186" s="12">
        <f>SUM(R186:AC186)</f>
        <v>250</v>
      </c>
      <c r="AE186" s="26">
        <v>250</v>
      </c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3">
        <f>SUM(AE186:AP186)</f>
        <v>250</v>
      </c>
      <c r="AR186" s="3">
        <v>250</v>
      </c>
      <c r="AS186" s="3">
        <v>0</v>
      </c>
      <c r="AT186" s="3">
        <v>0</v>
      </c>
      <c r="AU186" s="3">
        <v>0</v>
      </c>
      <c r="AV186" s="3">
        <v>0</v>
      </c>
      <c r="AW186" s="60">
        <v>0</v>
      </c>
      <c r="BD186" s="3">
        <f>SUM(AR186:BC186)</f>
        <v>250</v>
      </c>
    </row>
    <row r="187" spans="1:56" ht="13.5" thickBot="1" x14ac:dyDescent="0.35">
      <c r="A187" t="s">
        <v>50</v>
      </c>
      <c r="D187" s="8" t="s">
        <v>10</v>
      </c>
      <c r="E187" s="26">
        <f>6250+8527.61</f>
        <v>14777.61</v>
      </c>
      <c r="F187" s="26">
        <f>6250+8527.61</f>
        <v>14777.61</v>
      </c>
      <c r="G187" s="26">
        <f>6250+8527.61</f>
        <v>14777.61</v>
      </c>
      <c r="H187" s="26">
        <f>6250+8527.61</f>
        <v>14777.61</v>
      </c>
      <c r="I187" s="26">
        <f>6250+8527.61</f>
        <v>14777.61</v>
      </c>
      <c r="J187" s="26">
        <f>6250+8527.58</f>
        <v>14777.58</v>
      </c>
      <c r="K187" s="26">
        <f>6250+8402.61</f>
        <v>14652.61</v>
      </c>
      <c r="L187" s="26">
        <f>6250+8402.61</f>
        <v>14652.61</v>
      </c>
      <c r="M187" s="26">
        <f>6250+8402.61</f>
        <v>14652.61</v>
      </c>
      <c r="N187" s="26">
        <f>6250+8402.61</f>
        <v>14652.61</v>
      </c>
      <c r="O187" s="26">
        <f>6250+8402.61</f>
        <v>14652.61</v>
      </c>
      <c r="P187" s="26">
        <f>6250+8402.58</f>
        <v>14652.58</v>
      </c>
      <c r="Q187" s="12">
        <f>SUM(E187:P187)</f>
        <v>176581.25999999998</v>
      </c>
      <c r="R187" s="26">
        <f>6250+8402.61</f>
        <v>14652.61</v>
      </c>
      <c r="S187" s="26">
        <f>6250+8402.61</f>
        <v>14652.61</v>
      </c>
      <c r="T187" s="26">
        <f>6250+8402.61</f>
        <v>14652.61</v>
      </c>
      <c r="U187" s="26">
        <f>6250+8402.61</f>
        <v>14652.61</v>
      </c>
      <c r="V187" s="26">
        <f>6250+8402.61</f>
        <v>14652.61</v>
      </c>
      <c r="W187" s="26">
        <f>6250+8402.58</f>
        <v>14652.58</v>
      </c>
      <c r="X187" s="26">
        <f>6250+8215.11</f>
        <v>14465.11</v>
      </c>
      <c r="Y187" s="26">
        <f>6250+8215.11</f>
        <v>14465.11</v>
      </c>
      <c r="Z187" s="26">
        <f>6250+8215.11</f>
        <v>14465.11</v>
      </c>
      <c r="AA187" s="26">
        <f>6250+8215.11</f>
        <v>14465.11</v>
      </c>
      <c r="AB187" s="26">
        <f>6250+8215.11</f>
        <v>14465.11</v>
      </c>
      <c r="AC187" s="26">
        <f>6250+8215.08</f>
        <v>14465.08</v>
      </c>
      <c r="AD187" s="12">
        <f>SUM(R187:AC187)</f>
        <v>174706.25999999998</v>
      </c>
      <c r="AE187" s="12">
        <f>6250+8215.11</f>
        <v>14465.11</v>
      </c>
      <c r="AF187" s="12">
        <f>6250+8215.11</f>
        <v>14465.11</v>
      </c>
      <c r="AG187" s="12">
        <f>6250+8215.11</f>
        <v>14465.11</v>
      </c>
      <c r="AH187" s="12">
        <f>6250+8215.11</f>
        <v>14465.11</v>
      </c>
      <c r="AI187" s="12">
        <f>6250+8215.11</f>
        <v>14465.11</v>
      </c>
      <c r="AJ187" s="12">
        <f>6250+8215.08</f>
        <v>14465.08</v>
      </c>
      <c r="AK187" s="12">
        <f>6666.67+8027.61</f>
        <v>14694.279999999999</v>
      </c>
      <c r="AL187" s="12">
        <f>6666.67+8027.61</f>
        <v>14694.279999999999</v>
      </c>
      <c r="AM187" s="12">
        <f>6666.67+8027.61</f>
        <v>14694.279999999999</v>
      </c>
      <c r="AN187" s="12">
        <f>6666.67+8027.61</f>
        <v>14694.279999999999</v>
      </c>
      <c r="AO187" s="12">
        <f>6666.67+8027.61</f>
        <v>14694.279999999999</v>
      </c>
      <c r="AP187" s="12">
        <f>6666.67+8027.58</f>
        <v>14694.25</v>
      </c>
      <c r="AQ187" s="3">
        <f>SUM(AE187:AP187)</f>
        <v>174956.28</v>
      </c>
      <c r="AR187" s="3">
        <f>6666.67+8027.61</f>
        <v>14694.279999999999</v>
      </c>
      <c r="AS187" s="3">
        <f>6666.67+8027.61</f>
        <v>14694.279999999999</v>
      </c>
      <c r="AT187" s="3">
        <f>6666.67+8027.61</f>
        <v>14694.279999999999</v>
      </c>
      <c r="AU187" s="3">
        <f>6666.67+8027.61</f>
        <v>14694.279999999999</v>
      </c>
      <c r="AV187" s="3">
        <f>6666.67+8027.61</f>
        <v>14694.279999999999</v>
      </c>
      <c r="AW187" s="60">
        <f>6666.63+8027.58+10720.76-25414.97</f>
        <v>0</v>
      </c>
      <c r="BD187" s="3">
        <f>SUM(AR187:BC187)</f>
        <v>73471.399999999994</v>
      </c>
    </row>
    <row r="188" spans="1:56" ht="13.5" thickBot="1" x14ac:dyDescent="0.35">
      <c r="D188" s="13" t="s">
        <v>51</v>
      </c>
      <c r="E188" s="14">
        <f t="shared" ref="E188:P188" si="172">SUM(E185:E187)</f>
        <v>15260.11</v>
      </c>
      <c r="F188" s="14">
        <f t="shared" si="172"/>
        <v>15010.11</v>
      </c>
      <c r="G188" s="14">
        <f t="shared" si="172"/>
        <v>15010.11</v>
      </c>
      <c r="H188" s="14">
        <f t="shared" si="172"/>
        <v>15010.11</v>
      </c>
      <c r="I188" s="14">
        <f t="shared" si="172"/>
        <v>15010.11</v>
      </c>
      <c r="J188" s="14">
        <f t="shared" si="172"/>
        <v>15003.83</v>
      </c>
      <c r="K188" s="14">
        <f t="shared" si="172"/>
        <v>14878.86</v>
      </c>
      <c r="L188" s="14">
        <f t="shared" si="172"/>
        <v>14878.86</v>
      </c>
      <c r="M188" s="14">
        <f t="shared" si="172"/>
        <v>14878.86</v>
      </c>
      <c r="N188" s="14">
        <f t="shared" si="172"/>
        <v>14878.86</v>
      </c>
      <c r="O188" s="14">
        <f t="shared" si="172"/>
        <v>14878.86</v>
      </c>
      <c r="P188" s="14">
        <f t="shared" si="172"/>
        <v>14878.83</v>
      </c>
      <c r="Q188" s="14">
        <f>SUM(Q185:Q187)</f>
        <v>179577.50999999998</v>
      </c>
      <c r="R188" s="14">
        <f t="shared" ref="R188:AC188" si="173">SUM(R185:R187)</f>
        <v>15128.86</v>
      </c>
      <c r="S188" s="14">
        <f t="shared" si="173"/>
        <v>14878.86</v>
      </c>
      <c r="T188" s="14">
        <f t="shared" si="173"/>
        <v>14878.86</v>
      </c>
      <c r="U188" s="14">
        <f t="shared" si="173"/>
        <v>14878.86</v>
      </c>
      <c r="V188" s="14">
        <f t="shared" si="173"/>
        <v>14878.86</v>
      </c>
      <c r="W188" s="14">
        <f t="shared" si="173"/>
        <v>14872.58</v>
      </c>
      <c r="X188" s="14">
        <f t="shared" si="173"/>
        <v>14685.11</v>
      </c>
      <c r="Y188" s="14">
        <f t="shared" si="173"/>
        <v>14685.11</v>
      </c>
      <c r="Z188" s="14">
        <f t="shared" si="173"/>
        <v>14685.11</v>
      </c>
      <c r="AA188" s="14">
        <f t="shared" si="173"/>
        <v>14685.11</v>
      </c>
      <c r="AB188" s="14">
        <f t="shared" si="173"/>
        <v>14685.11</v>
      </c>
      <c r="AC188" s="14">
        <f t="shared" si="173"/>
        <v>14685.08</v>
      </c>
      <c r="AD188" s="14">
        <f>SUM(AD185:AD187)</f>
        <v>177627.50999999998</v>
      </c>
      <c r="AE188" s="14">
        <f>SUM(AE185:AE187)</f>
        <v>14935.11</v>
      </c>
      <c r="AF188" s="14">
        <f>SUM(AF185:AF187)</f>
        <v>14685.11</v>
      </c>
      <c r="AG188" s="14">
        <f t="shared" ref="AG188:AP188" si="174">SUM(AG185:AG187)</f>
        <v>14685.11</v>
      </c>
      <c r="AH188" s="14">
        <f t="shared" si="174"/>
        <v>14685.11</v>
      </c>
      <c r="AI188" s="14">
        <f t="shared" si="174"/>
        <v>14685.11</v>
      </c>
      <c r="AJ188" s="14">
        <f t="shared" si="174"/>
        <v>14678.83</v>
      </c>
      <c r="AK188" s="14">
        <f t="shared" si="174"/>
        <v>14908.029999999999</v>
      </c>
      <c r="AL188" s="14">
        <f t="shared" si="174"/>
        <v>14908.029999999999</v>
      </c>
      <c r="AM188" s="14">
        <f t="shared" si="174"/>
        <v>14908.029999999999</v>
      </c>
      <c r="AN188" s="14">
        <f t="shared" si="174"/>
        <v>14908.029999999999</v>
      </c>
      <c r="AO188" s="14">
        <f t="shared" si="174"/>
        <v>14908.029999999999</v>
      </c>
      <c r="AP188" s="14">
        <f t="shared" si="174"/>
        <v>14908</v>
      </c>
      <c r="AQ188" s="22">
        <f>SUM(AQ185:AQ187)</f>
        <v>177802.53</v>
      </c>
      <c r="AR188" s="22">
        <f t="shared" ref="AR188:BD188" si="175">SUM(AR185:AR187)</f>
        <v>15158.029999999999</v>
      </c>
      <c r="AS188" s="22">
        <f t="shared" si="175"/>
        <v>14908.029999999999</v>
      </c>
      <c r="AT188" s="22">
        <f t="shared" si="175"/>
        <v>14908.029999999999</v>
      </c>
      <c r="AU188" s="22">
        <f t="shared" si="175"/>
        <v>14908.029999999999</v>
      </c>
      <c r="AV188" s="22">
        <f t="shared" si="175"/>
        <v>14908.029999999999</v>
      </c>
      <c r="AW188" s="98">
        <f t="shared" si="175"/>
        <v>0</v>
      </c>
      <c r="AX188" s="22">
        <f t="shared" si="175"/>
        <v>0</v>
      </c>
      <c r="AY188" s="22">
        <f t="shared" si="175"/>
        <v>0</v>
      </c>
      <c r="AZ188" s="22">
        <f t="shared" si="175"/>
        <v>0</v>
      </c>
      <c r="BA188" s="22">
        <f t="shared" si="175"/>
        <v>0</v>
      </c>
      <c r="BB188" s="22">
        <f t="shared" si="175"/>
        <v>0</v>
      </c>
      <c r="BC188" s="22">
        <f t="shared" si="175"/>
        <v>0</v>
      </c>
      <c r="BD188" s="22">
        <f t="shared" si="175"/>
        <v>74790.149999999994</v>
      </c>
    </row>
    <row r="189" spans="1:56" x14ac:dyDescent="0.3">
      <c r="D189" s="15"/>
    </row>
    <row r="190" spans="1:56" ht="15.5" x14ac:dyDescent="0.35">
      <c r="B190" s="1">
        <f>B178+1</f>
        <v>24</v>
      </c>
      <c r="C190" s="24" t="s">
        <v>14</v>
      </c>
      <c r="D190" s="25" t="s">
        <v>92</v>
      </c>
    </row>
    <row r="191" spans="1:56" x14ac:dyDescent="0.3">
      <c r="D191" s="8" t="s">
        <v>8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f>SUM(E191:P191)</f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f>SUM(R191:AC191)</f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3">
        <f>SUM(AE191:AP191)</f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f>SUM(AR191:BC191)</f>
        <v>0</v>
      </c>
    </row>
    <row r="192" spans="1:56" x14ac:dyDescent="0.3">
      <c r="D192" s="8" t="s">
        <v>9</v>
      </c>
      <c r="E192" s="11">
        <v>250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2">
        <f>SUM(E192:P192)</f>
        <v>250</v>
      </c>
      <c r="R192" s="11">
        <v>250</v>
      </c>
      <c r="AD192" s="12">
        <f>SUM(R192:AC192)</f>
        <v>250</v>
      </c>
      <c r="AE192" s="11">
        <v>250</v>
      </c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3">
        <f>SUM(AE192:AP192)</f>
        <v>250</v>
      </c>
      <c r="AR192" s="3">
        <v>250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f>SUM(AR192:BC192)</f>
        <v>250</v>
      </c>
    </row>
    <row r="193" spans="1:56" ht="13.5" thickBot="1" x14ac:dyDescent="0.35">
      <c r="A193" t="s">
        <v>93</v>
      </c>
      <c r="D193" s="8" t="s">
        <v>10</v>
      </c>
      <c r="E193" s="12">
        <v>32953.129999999997</v>
      </c>
      <c r="F193" s="12">
        <v>32953.129999999997</v>
      </c>
      <c r="G193" s="12">
        <v>32953.129999999997</v>
      </c>
      <c r="H193" s="12">
        <v>32953.129999999997</v>
      </c>
      <c r="I193" s="12">
        <v>32953.129999999997</v>
      </c>
      <c r="J193" s="12">
        <v>32953.129999999997</v>
      </c>
      <c r="K193" s="12">
        <v>32953.129999999997</v>
      </c>
      <c r="L193" s="12">
        <v>32953.129999999997</v>
      </c>
      <c r="M193" s="12">
        <v>32953.129999999997</v>
      </c>
      <c r="N193" s="12">
        <v>32953.129999999997</v>
      </c>
      <c r="O193" s="12">
        <v>32953.129999999997</v>
      </c>
      <c r="P193" s="12">
        <v>32953.129999999997</v>
      </c>
      <c r="Q193" s="12">
        <f>SUM(E193:P193)</f>
        <v>395437.56</v>
      </c>
      <c r="R193" s="12">
        <v>32953.129999999997</v>
      </c>
      <c r="S193" s="12">
        <v>32953.129999999997</v>
      </c>
      <c r="T193" s="12">
        <v>32953.129999999997</v>
      </c>
      <c r="U193" s="12">
        <v>32953.129999999997</v>
      </c>
      <c r="V193" s="12">
        <v>32953.129999999997</v>
      </c>
      <c r="W193" s="12">
        <v>32953.129999999997</v>
      </c>
      <c r="X193" s="12">
        <v>32953.129999999997</v>
      </c>
      <c r="Y193" s="12">
        <v>32953.129999999997</v>
      </c>
      <c r="Z193" s="12">
        <v>32953.129999999997</v>
      </c>
      <c r="AA193" s="12">
        <v>32953.129999999997</v>
      </c>
      <c r="AB193" s="12">
        <f>12500+32953.13</f>
        <v>45453.13</v>
      </c>
      <c r="AC193" s="12">
        <f>12500+32953.13</f>
        <v>45453.13</v>
      </c>
      <c r="AD193" s="12">
        <f>SUM(R193:AC193)</f>
        <v>420437.56</v>
      </c>
      <c r="AE193" s="12">
        <f t="shared" ref="AE193:AN193" si="176">12500+32953.13</f>
        <v>45453.13</v>
      </c>
      <c r="AF193" s="12">
        <f t="shared" si="176"/>
        <v>45453.13</v>
      </c>
      <c r="AG193" s="12">
        <f t="shared" si="176"/>
        <v>45453.13</v>
      </c>
      <c r="AH193" s="12">
        <f t="shared" si="176"/>
        <v>45453.13</v>
      </c>
      <c r="AI193" s="12">
        <f t="shared" si="176"/>
        <v>45453.13</v>
      </c>
      <c r="AJ193" s="12">
        <f t="shared" si="176"/>
        <v>45453.13</v>
      </c>
      <c r="AK193" s="12">
        <f t="shared" si="176"/>
        <v>45453.13</v>
      </c>
      <c r="AL193" s="12">
        <f t="shared" si="176"/>
        <v>45453.13</v>
      </c>
      <c r="AM193" s="12">
        <f t="shared" si="176"/>
        <v>45453.13</v>
      </c>
      <c r="AN193" s="12">
        <f t="shared" si="176"/>
        <v>45453.13</v>
      </c>
      <c r="AO193" s="12">
        <f>12916.67+32359.38</f>
        <v>45276.05</v>
      </c>
      <c r="AP193" s="12">
        <f>12916.67+32359.38</f>
        <v>45276.05</v>
      </c>
      <c r="AQ193" s="3">
        <f>SUM(AE193:AP193)</f>
        <v>545083.4</v>
      </c>
      <c r="AR193" s="3">
        <f>12916.67+32359.38</f>
        <v>45276.05</v>
      </c>
      <c r="AS193" s="3">
        <f>12916.67+32359.38</f>
        <v>45276.05</v>
      </c>
      <c r="AT193" s="3">
        <f t="shared" ref="AT193:BA193" si="177">12916.67+32359.38</f>
        <v>45276.05</v>
      </c>
      <c r="AU193" s="3">
        <f t="shared" si="177"/>
        <v>45276.05</v>
      </c>
      <c r="AV193" s="3">
        <f t="shared" si="177"/>
        <v>45276.05</v>
      </c>
      <c r="AW193" s="3">
        <f t="shared" si="177"/>
        <v>45276.05</v>
      </c>
      <c r="AX193" s="3">
        <f t="shared" si="177"/>
        <v>45276.05</v>
      </c>
      <c r="AY193" s="3">
        <f t="shared" si="177"/>
        <v>45276.05</v>
      </c>
      <c r="AZ193" s="3">
        <f t="shared" si="177"/>
        <v>45276.05</v>
      </c>
      <c r="BA193" s="3">
        <f t="shared" si="177"/>
        <v>45276.05</v>
      </c>
      <c r="BB193" s="3">
        <v>0</v>
      </c>
      <c r="BC193" s="3">
        <v>0</v>
      </c>
      <c r="BD193" s="3">
        <f>SUM(AR193:BC193)</f>
        <v>452760.49999999994</v>
      </c>
    </row>
    <row r="194" spans="1:56" ht="13.5" thickBot="1" x14ac:dyDescent="0.35">
      <c r="D194" s="13" t="s">
        <v>94</v>
      </c>
      <c r="E194" s="14">
        <f t="shared" ref="E194:P194" si="178">SUM(E191:E193)</f>
        <v>33203.129999999997</v>
      </c>
      <c r="F194" s="14">
        <f t="shared" si="178"/>
        <v>32953.129999999997</v>
      </c>
      <c r="G194" s="14">
        <f t="shared" si="178"/>
        <v>32953.129999999997</v>
      </c>
      <c r="H194" s="14">
        <f t="shared" si="178"/>
        <v>32953.129999999997</v>
      </c>
      <c r="I194" s="14">
        <f t="shared" si="178"/>
        <v>32953.129999999997</v>
      </c>
      <c r="J194" s="14">
        <f t="shared" si="178"/>
        <v>32953.129999999997</v>
      </c>
      <c r="K194" s="14">
        <f t="shared" si="178"/>
        <v>32953.129999999997</v>
      </c>
      <c r="L194" s="14">
        <f t="shared" si="178"/>
        <v>32953.129999999997</v>
      </c>
      <c r="M194" s="14">
        <f t="shared" si="178"/>
        <v>32953.129999999997</v>
      </c>
      <c r="N194" s="14">
        <f t="shared" si="178"/>
        <v>32953.129999999997</v>
      </c>
      <c r="O194" s="14">
        <f t="shared" si="178"/>
        <v>32953.129999999997</v>
      </c>
      <c r="P194" s="14">
        <f t="shared" si="178"/>
        <v>32953.129999999997</v>
      </c>
      <c r="Q194" s="14">
        <f>SUM(Q191:Q193)</f>
        <v>395687.56</v>
      </c>
      <c r="R194" s="14">
        <f t="shared" ref="R194:AC194" si="179">SUM(R191:R193)</f>
        <v>33203.129999999997</v>
      </c>
      <c r="S194" s="14">
        <f t="shared" si="179"/>
        <v>32953.129999999997</v>
      </c>
      <c r="T194" s="14">
        <f t="shared" si="179"/>
        <v>32953.129999999997</v>
      </c>
      <c r="U194" s="14">
        <f t="shared" si="179"/>
        <v>32953.129999999997</v>
      </c>
      <c r="V194" s="14">
        <f t="shared" si="179"/>
        <v>32953.129999999997</v>
      </c>
      <c r="W194" s="14">
        <f t="shared" si="179"/>
        <v>32953.129999999997</v>
      </c>
      <c r="X194" s="14">
        <f t="shared" si="179"/>
        <v>32953.129999999997</v>
      </c>
      <c r="Y194" s="14">
        <f t="shared" si="179"/>
        <v>32953.129999999997</v>
      </c>
      <c r="Z194" s="14">
        <f t="shared" si="179"/>
        <v>32953.129999999997</v>
      </c>
      <c r="AA194" s="14">
        <f t="shared" si="179"/>
        <v>32953.129999999997</v>
      </c>
      <c r="AB194" s="14">
        <f t="shared" si="179"/>
        <v>45453.13</v>
      </c>
      <c r="AC194" s="14">
        <f t="shared" si="179"/>
        <v>45453.13</v>
      </c>
      <c r="AD194" s="14">
        <f>SUM(AD191:AD193)</f>
        <v>420687.56</v>
      </c>
      <c r="AE194" s="14">
        <f>SUM(AE191:AE193)</f>
        <v>45703.13</v>
      </c>
      <c r="AF194" s="14">
        <f>SUM(AF191:AF193)</f>
        <v>45453.13</v>
      </c>
      <c r="AG194" s="14">
        <f t="shared" ref="AG194:AP194" si="180">SUM(AG191:AG193)</f>
        <v>45453.13</v>
      </c>
      <c r="AH194" s="14">
        <f t="shared" si="180"/>
        <v>45453.13</v>
      </c>
      <c r="AI194" s="14">
        <f t="shared" si="180"/>
        <v>45453.13</v>
      </c>
      <c r="AJ194" s="14">
        <f t="shared" si="180"/>
        <v>45453.13</v>
      </c>
      <c r="AK194" s="14">
        <f t="shared" si="180"/>
        <v>45453.13</v>
      </c>
      <c r="AL194" s="14">
        <f t="shared" si="180"/>
        <v>45453.13</v>
      </c>
      <c r="AM194" s="14">
        <f t="shared" si="180"/>
        <v>45453.13</v>
      </c>
      <c r="AN194" s="14">
        <f t="shared" si="180"/>
        <v>45453.13</v>
      </c>
      <c r="AO194" s="14">
        <f t="shared" si="180"/>
        <v>45276.05</v>
      </c>
      <c r="AP194" s="14">
        <f t="shared" si="180"/>
        <v>45276.05</v>
      </c>
      <c r="AQ194" s="22">
        <f>SUM(AQ191:AQ193)</f>
        <v>545333.4</v>
      </c>
      <c r="AR194" s="22">
        <f t="shared" ref="AR194:BD194" si="181">SUM(AR191:AR193)</f>
        <v>45526.05</v>
      </c>
      <c r="AS194" s="22">
        <f t="shared" si="181"/>
        <v>45276.05</v>
      </c>
      <c r="AT194" s="22">
        <f t="shared" si="181"/>
        <v>45276.05</v>
      </c>
      <c r="AU194" s="22">
        <f t="shared" si="181"/>
        <v>45276.05</v>
      </c>
      <c r="AV194" s="22">
        <f t="shared" si="181"/>
        <v>45276.05</v>
      </c>
      <c r="AW194" s="22">
        <f t="shared" si="181"/>
        <v>45276.05</v>
      </c>
      <c r="AX194" s="22">
        <f t="shared" si="181"/>
        <v>45276.05</v>
      </c>
      <c r="AY194" s="22">
        <f t="shared" si="181"/>
        <v>45276.05</v>
      </c>
      <c r="AZ194" s="22">
        <f t="shared" si="181"/>
        <v>45276.05</v>
      </c>
      <c r="BA194" s="22">
        <f t="shared" si="181"/>
        <v>45276.05</v>
      </c>
      <c r="BB194" s="22">
        <f t="shared" si="181"/>
        <v>0</v>
      </c>
      <c r="BC194" s="22">
        <f t="shared" si="181"/>
        <v>0</v>
      </c>
      <c r="BD194" s="22">
        <f t="shared" si="181"/>
        <v>453010.49999999994</v>
      </c>
    </row>
    <row r="195" spans="1:56" x14ac:dyDescent="0.3">
      <c r="D195" s="15"/>
    </row>
    <row r="196" spans="1:56" ht="15.5" x14ac:dyDescent="0.35">
      <c r="B196" s="1">
        <f>B190+1</f>
        <v>25</v>
      </c>
      <c r="C196" s="24" t="s">
        <v>14</v>
      </c>
      <c r="D196" s="25" t="s">
        <v>95</v>
      </c>
    </row>
    <row r="197" spans="1:56" x14ac:dyDescent="0.3">
      <c r="D197" s="8" t="s">
        <v>8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f>SUM(E197:P197)</f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f>SUM(R197:AC197)</f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3">
        <f>SUM(AE197:AP197)</f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f>SUM(AR197:BC197)</f>
        <v>0</v>
      </c>
    </row>
    <row r="198" spans="1:56" x14ac:dyDescent="0.3">
      <c r="D198" s="8" t="s">
        <v>9</v>
      </c>
      <c r="E198" s="11">
        <v>250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2">
        <f>SUM(E198:P198)</f>
        <v>250</v>
      </c>
      <c r="R198" s="11">
        <v>250</v>
      </c>
      <c r="AD198" s="12">
        <f>SUM(R198:AC198)</f>
        <v>250</v>
      </c>
      <c r="AE198" s="11">
        <v>250</v>
      </c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3">
        <f>SUM(AE198:AP198)</f>
        <v>250</v>
      </c>
      <c r="AR198" s="3">
        <v>250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f>SUM(AR198:BC198)</f>
        <v>250</v>
      </c>
    </row>
    <row r="199" spans="1:56" ht="13.5" thickBot="1" x14ac:dyDescent="0.35">
      <c r="A199" t="s">
        <v>96</v>
      </c>
      <c r="D199" s="8" t="s">
        <v>10</v>
      </c>
      <c r="E199" s="11">
        <f t="shared" ref="E199:N199" si="182">1666.67+6362.5</f>
        <v>8029.17</v>
      </c>
      <c r="F199" s="11">
        <f t="shared" si="182"/>
        <v>8029.17</v>
      </c>
      <c r="G199" s="11">
        <f t="shared" si="182"/>
        <v>8029.17</v>
      </c>
      <c r="H199" s="11">
        <f t="shared" si="182"/>
        <v>8029.17</v>
      </c>
      <c r="I199" s="11">
        <f t="shared" si="182"/>
        <v>8029.17</v>
      </c>
      <c r="J199" s="11">
        <f t="shared" si="182"/>
        <v>8029.17</v>
      </c>
      <c r="K199" s="11">
        <f t="shared" si="182"/>
        <v>8029.17</v>
      </c>
      <c r="L199" s="11">
        <f t="shared" si="182"/>
        <v>8029.17</v>
      </c>
      <c r="M199" s="11">
        <f t="shared" si="182"/>
        <v>8029.17</v>
      </c>
      <c r="N199" s="11">
        <f t="shared" si="182"/>
        <v>8029.17</v>
      </c>
      <c r="O199" s="11">
        <f>1666.63+6362.5</f>
        <v>8029.13</v>
      </c>
      <c r="P199" s="11">
        <f>2083.33+6275</f>
        <v>8358.33</v>
      </c>
      <c r="Q199" s="12">
        <f>SUM(E199:P199)</f>
        <v>96679.16</v>
      </c>
      <c r="R199" s="11">
        <f t="shared" ref="R199:AA199" si="183">2083.33+6275</f>
        <v>8358.33</v>
      </c>
      <c r="S199" s="11">
        <f t="shared" si="183"/>
        <v>8358.33</v>
      </c>
      <c r="T199" s="11">
        <f t="shared" si="183"/>
        <v>8358.33</v>
      </c>
      <c r="U199" s="11">
        <f t="shared" si="183"/>
        <v>8358.33</v>
      </c>
      <c r="V199" s="11">
        <f t="shared" si="183"/>
        <v>8358.33</v>
      </c>
      <c r="W199" s="11">
        <f t="shared" si="183"/>
        <v>8358.33</v>
      </c>
      <c r="X199" s="11">
        <f t="shared" si="183"/>
        <v>8358.33</v>
      </c>
      <c r="Y199" s="11">
        <f t="shared" si="183"/>
        <v>8358.33</v>
      </c>
      <c r="Z199" s="11">
        <f t="shared" si="183"/>
        <v>8358.33</v>
      </c>
      <c r="AA199" s="11">
        <f t="shared" si="183"/>
        <v>8358.33</v>
      </c>
      <c r="AB199" s="11">
        <f>2083.37+6275</f>
        <v>8358.369999999999</v>
      </c>
      <c r="AC199" s="11">
        <f>2083.33+6165.63</f>
        <v>8248.9599999999991</v>
      </c>
      <c r="AD199" s="12">
        <f>SUM(R199:AC199)</f>
        <v>100190.63</v>
      </c>
      <c r="AE199" s="11">
        <f t="shared" ref="AE199:AN199" si="184">2083.33+6165.63</f>
        <v>8248.9599999999991</v>
      </c>
      <c r="AF199" s="11">
        <f t="shared" si="184"/>
        <v>8248.9599999999991</v>
      </c>
      <c r="AG199" s="11">
        <f t="shared" si="184"/>
        <v>8248.9599999999991</v>
      </c>
      <c r="AH199" s="11">
        <f t="shared" si="184"/>
        <v>8248.9599999999991</v>
      </c>
      <c r="AI199" s="11">
        <f>2083.33+6165.6</f>
        <v>8248.93</v>
      </c>
      <c r="AJ199" s="11">
        <f t="shared" si="184"/>
        <v>8248.9599999999991</v>
      </c>
      <c r="AK199" s="11">
        <f t="shared" si="184"/>
        <v>8248.9599999999991</v>
      </c>
      <c r="AL199" s="11">
        <f t="shared" si="184"/>
        <v>8248.9599999999991</v>
      </c>
      <c r="AM199" s="11">
        <f t="shared" si="184"/>
        <v>8248.9599999999991</v>
      </c>
      <c r="AN199" s="11">
        <f t="shared" si="184"/>
        <v>8248.9599999999991</v>
      </c>
      <c r="AO199" s="11">
        <f>2083.37+6165.6</f>
        <v>8248.9700000000012</v>
      </c>
      <c r="AP199" s="12">
        <f>2083.33+6056.25</f>
        <v>8139.58</v>
      </c>
      <c r="AQ199" s="3">
        <f>SUM(AE199:AP199)</f>
        <v>98878.119999999981</v>
      </c>
      <c r="AR199" s="3">
        <f>2083.33+6056.25</f>
        <v>8139.58</v>
      </c>
      <c r="AS199" s="3">
        <f t="shared" ref="AS199:BA199" si="185">2083.33+6056.25</f>
        <v>8139.58</v>
      </c>
      <c r="AT199" s="3">
        <f t="shared" si="185"/>
        <v>8139.58</v>
      </c>
      <c r="AU199" s="3">
        <f t="shared" si="185"/>
        <v>8139.58</v>
      </c>
      <c r="AV199" s="3">
        <f t="shared" si="185"/>
        <v>8139.58</v>
      </c>
      <c r="AW199" s="3">
        <f t="shared" si="185"/>
        <v>8139.58</v>
      </c>
      <c r="AX199" s="3">
        <f t="shared" si="185"/>
        <v>8139.58</v>
      </c>
      <c r="AY199" s="3">
        <f t="shared" si="185"/>
        <v>8139.58</v>
      </c>
      <c r="AZ199" s="3">
        <f t="shared" si="185"/>
        <v>8139.58</v>
      </c>
      <c r="BA199" s="3">
        <f t="shared" si="185"/>
        <v>8139.58</v>
      </c>
      <c r="BB199" s="3">
        <f>2083.37+6056.25</f>
        <v>8139.62</v>
      </c>
      <c r="BC199" s="3">
        <f>2083.33+5946.88</f>
        <v>8030.21</v>
      </c>
      <c r="BD199" s="3">
        <f>SUM(AR199:BC199)</f>
        <v>97565.63</v>
      </c>
    </row>
    <row r="200" spans="1:56" ht="13.5" thickBot="1" x14ac:dyDescent="0.35">
      <c r="D200" s="13" t="s">
        <v>97</v>
      </c>
      <c r="E200" s="14">
        <f t="shared" ref="E200:P200" si="186">SUM(E197:E199)</f>
        <v>8279.17</v>
      </c>
      <c r="F200" s="14">
        <f t="shared" si="186"/>
        <v>8029.17</v>
      </c>
      <c r="G200" s="14">
        <f t="shared" si="186"/>
        <v>8029.17</v>
      </c>
      <c r="H200" s="14">
        <f t="shared" si="186"/>
        <v>8029.17</v>
      </c>
      <c r="I200" s="14">
        <f t="shared" si="186"/>
        <v>8029.17</v>
      </c>
      <c r="J200" s="14">
        <f t="shared" si="186"/>
        <v>8029.17</v>
      </c>
      <c r="K200" s="14">
        <f t="shared" si="186"/>
        <v>8029.17</v>
      </c>
      <c r="L200" s="14">
        <f t="shared" si="186"/>
        <v>8029.17</v>
      </c>
      <c r="M200" s="14">
        <f t="shared" si="186"/>
        <v>8029.17</v>
      </c>
      <c r="N200" s="14">
        <f t="shared" si="186"/>
        <v>8029.17</v>
      </c>
      <c r="O200" s="14">
        <f t="shared" si="186"/>
        <v>8029.13</v>
      </c>
      <c r="P200" s="14">
        <f t="shared" si="186"/>
        <v>8358.33</v>
      </c>
      <c r="Q200" s="14">
        <f>SUM(Q197:Q199)</f>
        <v>96929.16</v>
      </c>
      <c r="R200" s="14">
        <f t="shared" ref="R200:AC200" si="187">SUM(R197:R199)</f>
        <v>8608.33</v>
      </c>
      <c r="S200" s="14">
        <f t="shared" si="187"/>
        <v>8358.33</v>
      </c>
      <c r="T200" s="14">
        <f t="shared" si="187"/>
        <v>8358.33</v>
      </c>
      <c r="U200" s="14">
        <f t="shared" si="187"/>
        <v>8358.33</v>
      </c>
      <c r="V200" s="14">
        <f t="shared" si="187"/>
        <v>8358.33</v>
      </c>
      <c r="W200" s="14">
        <f t="shared" si="187"/>
        <v>8358.33</v>
      </c>
      <c r="X200" s="14">
        <f t="shared" si="187"/>
        <v>8358.33</v>
      </c>
      <c r="Y200" s="14">
        <f t="shared" si="187"/>
        <v>8358.33</v>
      </c>
      <c r="Z200" s="14">
        <f t="shared" si="187"/>
        <v>8358.33</v>
      </c>
      <c r="AA200" s="14">
        <f t="shared" si="187"/>
        <v>8358.33</v>
      </c>
      <c r="AB200" s="14">
        <f t="shared" si="187"/>
        <v>8358.369999999999</v>
      </c>
      <c r="AC200" s="14">
        <f t="shared" si="187"/>
        <v>8248.9599999999991</v>
      </c>
      <c r="AD200" s="14">
        <f>SUM(AD197:AD199)</f>
        <v>100440.63</v>
      </c>
      <c r="AE200" s="14">
        <f>SUM(AE197:AE199)</f>
        <v>8498.9599999999991</v>
      </c>
      <c r="AF200" s="14">
        <f>SUM(AF197:AF199)</f>
        <v>8248.9599999999991</v>
      </c>
      <c r="AG200" s="14">
        <f t="shared" ref="AG200:AP200" si="188">SUM(AG197:AG199)</f>
        <v>8248.9599999999991</v>
      </c>
      <c r="AH200" s="14">
        <f t="shared" si="188"/>
        <v>8248.9599999999991</v>
      </c>
      <c r="AI200" s="14">
        <f t="shared" si="188"/>
        <v>8248.93</v>
      </c>
      <c r="AJ200" s="14">
        <f t="shared" si="188"/>
        <v>8248.9599999999991</v>
      </c>
      <c r="AK200" s="14">
        <f t="shared" si="188"/>
        <v>8248.9599999999991</v>
      </c>
      <c r="AL200" s="14">
        <f t="shared" si="188"/>
        <v>8248.9599999999991</v>
      </c>
      <c r="AM200" s="14">
        <f t="shared" si="188"/>
        <v>8248.9599999999991</v>
      </c>
      <c r="AN200" s="14">
        <f t="shared" si="188"/>
        <v>8248.9599999999991</v>
      </c>
      <c r="AO200" s="14">
        <f t="shared" si="188"/>
        <v>8248.9700000000012</v>
      </c>
      <c r="AP200" s="14">
        <f t="shared" si="188"/>
        <v>8139.58</v>
      </c>
      <c r="AQ200" s="22">
        <f>SUM(AQ197:AQ199)</f>
        <v>99128.119999999981</v>
      </c>
      <c r="AR200" s="22">
        <f t="shared" ref="AR200:BD200" si="189">SUM(AR197:AR199)</f>
        <v>8389.58</v>
      </c>
      <c r="AS200" s="22">
        <f t="shared" si="189"/>
        <v>8139.58</v>
      </c>
      <c r="AT200" s="22">
        <f t="shared" si="189"/>
        <v>8139.58</v>
      </c>
      <c r="AU200" s="22">
        <f t="shared" si="189"/>
        <v>8139.58</v>
      </c>
      <c r="AV200" s="22">
        <f t="shared" si="189"/>
        <v>8139.58</v>
      </c>
      <c r="AW200" s="22">
        <f t="shared" si="189"/>
        <v>8139.58</v>
      </c>
      <c r="AX200" s="22">
        <f t="shared" si="189"/>
        <v>8139.58</v>
      </c>
      <c r="AY200" s="22">
        <f t="shared" si="189"/>
        <v>8139.58</v>
      </c>
      <c r="AZ200" s="22">
        <f t="shared" si="189"/>
        <v>8139.58</v>
      </c>
      <c r="BA200" s="22">
        <f t="shared" si="189"/>
        <v>8139.58</v>
      </c>
      <c r="BB200" s="22">
        <f t="shared" si="189"/>
        <v>8139.62</v>
      </c>
      <c r="BC200" s="22">
        <f t="shared" si="189"/>
        <v>8030.21</v>
      </c>
      <c r="BD200" s="22">
        <f t="shared" si="189"/>
        <v>97815.63</v>
      </c>
    </row>
    <row r="201" spans="1:56" x14ac:dyDescent="0.3">
      <c r="D201" s="15"/>
    </row>
    <row r="202" spans="1:56" ht="15.5" x14ac:dyDescent="0.35">
      <c r="B202" s="1">
        <f>B196+1</f>
        <v>26</v>
      </c>
      <c r="C202" s="24" t="s">
        <v>14</v>
      </c>
      <c r="D202" s="25" t="s">
        <v>98</v>
      </c>
    </row>
    <row r="203" spans="1:56" x14ac:dyDescent="0.3">
      <c r="D203" s="8" t="s">
        <v>8</v>
      </c>
      <c r="E203" s="11">
        <v>1482.92</v>
      </c>
      <c r="F203" s="11">
        <v>1482.92</v>
      </c>
      <c r="G203" s="11">
        <v>1482.92</v>
      </c>
      <c r="H203" s="11">
        <v>1482.92</v>
      </c>
      <c r="I203" s="11">
        <v>1482.92</v>
      </c>
      <c r="J203" s="11">
        <v>1482.92</v>
      </c>
      <c r="K203" s="11">
        <v>1482.92</v>
      </c>
      <c r="L203" s="11">
        <v>1482.92</v>
      </c>
      <c r="M203" s="11">
        <v>1452.08</v>
      </c>
      <c r="N203" s="11">
        <v>1452.08</v>
      </c>
      <c r="O203" s="11">
        <v>1452.08</v>
      </c>
      <c r="P203" s="11">
        <v>1452.08</v>
      </c>
      <c r="Q203" s="12">
        <f>SUM(E203:P203)</f>
        <v>17671.68</v>
      </c>
      <c r="R203" s="11">
        <v>1452.08</v>
      </c>
      <c r="S203" s="11">
        <v>1452.08</v>
      </c>
      <c r="T203" s="11">
        <v>1452.08</v>
      </c>
      <c r="U203" s="11">
        <v>1452.08</v>
      </c>
      <c r="V203" s="11">
        <v>1452.08</v>
      </c>
      <c r="W203" s="11">
        <v>1452.08</v>
      </c>
      <c r="X203" s="11">
        <v>1452.08</v>
      </c>
      <c r="Y203" s="11">
        <v>1452.08</v>
      </c>
      <c r="Z203" s="11">
        <v>1420</v>
      </c>
      <c r="AA203" s="11">
        <v>1420</v>
      </c>
      <c r="AB203" s="11">
        <v>1420</v>
      </c>
      <c r="AC203" s="11">
        <v>1420</v>
      </c>
      <c r="AD203" s="12">
        <f>SUM(R203:AC203)</f>
        <v>17296.64</v>
      </c>
      <c r="AE203" s="11">
        <v>1420</v>
      </c>
      <c r="AF203" s="11">
        <v>1420</v>
      </c>
      <c r="AG203" s="11">
        <v>1420</v>
      </c>
      <c r="AH203" s="11">
        <v>1420</v>
      </c>
      <c r="AI203" s="11">
        <v>1420</v>
      </c>
      <c r="AJ203" s="11">
        <v>1420</v>
      </c>
      <c r="AK203" s="11">
        <v>1420</v>
      </c>
      <c r="AL203" s="11">
        <v>1420</v>
      </c>
      <c r="AM203" s="12">
        <v>1386.67</v>
      </c>
      <c r="AN203" s="12">
        <v>1386.67</v>
      </c>
      <c r="AO203" s="12">
        <v>1386.67</v>
      </c>
      <c r="AP203" s="12">
        <v>1386.67</v>
      </c>
      <c r="AQ203" s="3">
        <f>SUM(AE203:AP203)</f>
        <v>16906.68</v>
      </c>
      <c r="AR203" s="3">
        <v>1386.67</v>
      </c>
      <c r="AS203" s="3">
        <v>1386.67</v>
      </c>
      <c r="AT203" s="3">
        <v>1386.67</v>
      </c>
      <c r="AU203" s="3">
        <v>1386.67</v>
      </c>
      <c r="AV203" s="3">
        <v>1386.67</v>
      </c>
      <c r="AW203" s="3">
        <v>1386.67</v>
      </c>
      <c r="AX203" s="3">
        <v>1386.67</v>
      </c>
      <c r="AY203" s="3">
        <v>1386.67</v>
      </c>
      <c r="AZ203" s="3">
        <v>1352.08</v>
      </c>
      <c r="BA203" s="3">
        <v>1352.08</v>
      </c>
      <c r="BB203" s="3">
        <v>1352.08</v>
      </c>
      <c r="BC203" s="3">
        <v>1352.08</v>
      </c>
      <c r="BD203" s="3">
        <f>SUM(AR203:BC203)</f>
        <v>16501.68</v>
      </c>
    </row>
    <row r="204" spans="1:56" x14ac:dyDescent="0.3">
      <c r="D204" s="8" t="s">
        <v>9</v>
      </c>
      <c r="E204" s="11">
        <v>250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2">
        <f>SUM(E204:P204)</f>
        <v>250</v>
      </c>
      <c r="R204" s="11">
        <v>250</v>
      </c>
      <c r="AD204" s="12">
        <f>SUM(R204:AC204)</f>
        <v>250</v>
      </c>
      <c r="AE204" s="11">
        <v>250</v>
      </c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3">
        <f>SUM(AE204:AP204)</f>
        <v>250</v>
      </c>
      <c r="AR204" s="3">
        <v>250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f>SUM(AR204:BC204)</f>
        <v>250</v>
      </c>
    </row>
    <row r="205" spans="1:56" ht="13.5" thickBot="1" x14ac:dyDescent="0.35">
      <c r="A205" t="s">
        <v>99</v>
      </c>
      <c r="D205" s="8" t="s">
        <v>10</v>
      </c>
      <c r="E205" s="11">
        <f>32083.33+63825</f>
        <v>95908.33</v>
      </c>
      <c r="F205" s="11">
        <f t="shared" ref="F205:O205" si="190">32083.33+63825</f>
        <v>95908.33</v>
      </c>
      <c r="G205" s="11">
        <f t="shared" si="190"/>
        <v>95908.33</v>
      </c>
      <c r="H205" s="11">
        <f t="shared" si="190"/>
        <v>95908.33</v>
      </c>
      <c r="I205" s="11">
        <f t="shared" si="190"/>
        <v>95908.33</v>
      </c>
      <c r="J205" s="11">
        <f t="shared" si="190"/>
        <v>95908.33</v>
      </c>
      <c r="K205" s="11">
        <f t="shared" si="190"/>
        <v>95908.33</v>
      </c>
      <c r="L205" s="11">
        <f t="shared" si="190"/>
        <v>95908.33</v>
      </c>
      <c r="M205" s="11">
        <f t="shared" si="190"/>
        <v>95908.33</v>
      </c>
      <c r="N205" s="11">
        <f t="shared" si="190"/>
        <v>95908.33</v>
      </c>
      <c r="O205" s="11">
        <f t="shared" si="190"/>
        <v>95908.33</v>
      </c>
      <c r="P205" s="11">
        <f>32083.37+63825</f>
        <v>95908.37</v>
      </c>
      <c r="Q205" s="12">
        <f>SUM(E205:P205)</f>
        <v>1150900</v>
      </c>
      <c r="R205" s="11">
        <f>33333.33+62541.67</f>
        <v>95875</v>
      </c>
      <c r="S205" s="11">
        <f t="shared" ref="S205:AB205" si="191">33333.33+62541.67</f>
        <v>95875</v>
      </c>
      <c r="T205" s="11">
        <f t="shared" si="191"/>
        <v>95875</v>
      </c>
      <c r="U205" s="11">
        <f t="shared" si="191"/>
        <v>95875</v>
      </c>
      <c r="V205" s="11">
        <f t="shared" si="191"/>
        <v>95875</v>
      </c>
      <c r="W205" s="11">
        <f>33333.33+62541.65</f>
        <v>95874.98000000001</v>
      </c>
      <c r="X205" s="11">
        <f t="shared" si="191"/>
        <v>95875</v>
      </c>
      <c r="Y205" s="11">
        <f t="shared" si="191"/>
        <v>95875</v>
      </c>
      <c r="Z205" s="11">
        <f t="shared" si="191"/>
        <v>95875</v>
      </c>
      <c r="AA205" s="11">
        <f t="shared" si="191"/>
        <v>95875</v>
      </c>
      <c r="AB205" s="11">
        <f t="shared" si="191"/>
        <v>95875</v>
      </c>
      <c r="AC205" s="11">
        <f>33333.37+62541.65</f>
        <v>95875.02</v>
      </c>
      <c r="AD205" s="12">
        <f>SUM(R205:AC205)</f>
        <v>1150500</v>
      </c>
      <c r="AE205" s="12">
        <f>34583.33+61208.33</f>
        <v>95791.66</v>
      </c>
      <c r="AF205" s="12">
        <f t="shared" ref="AF205:AO205" si="192">34583.33+61208.33</f>
        <v>95791.66</v>
      </c>
      <c r="AG205" s="12">
        <f t="shared" si="192"/>
        <v>95791.66</v>
      </c>
      <c r="AH205" s="12">
        <f t="shared" si="192"/>
        <v>95791.66</v>
      </c>
      <c r="AI205" s="12">
        <f t="shared" si="192"/>
        <v>95791.66</v>
      </c>
      <c r="AJ205" s="12">
        <f>34583.33+61208.35</f>
        <v>95791.679999999993</v>
      </c>
      <c r="AK205" s="12">
        <f t="shared" si="192"/>
        <v>95791.66</v>
      </c>
      <c r="AL205" s="12">
        <f t="shared" si="192"/>
        <v>95791.66</v>
      </c>
      <c r="AM205" s="12">
        <f t="shared" si="192"/>
        <v>95791.66</v>
      </c>
      <c r="AN205" s="12">
        <f t="shared" si="192"/>
        <v>95791.66</v>
      </c>
      <c r="AO205" s="12">
        <f t="shared" si="192"/>
        <v>95791.66</v>
      </c>
      <c r="AP205" s="12">
        <f>34583.37+61208.35</f>
        <v>95791.72</v>
      </c>
      <c r="AQ205" s="3">
        <f>SUM(AE205:AP205)</f>
        <v>1149500</v>
      </c>
      <c r="AR205" s="3">
        <f>36250+59825</f>
        <v>96075</v>
      </c>
      <c r="AS205" s="3">
        <f t="shared" ref="AS205:BB205" si="193">36250+59825</f>
        <v>96075</v>
      </c>
      <c r="AT205" s="3">
        <f t="shared" si="193"/>
        <v>96075</v>
      </c>
      <c r="AU205" s="3">
        <f t="shared" si="193"/>
        <v>96075</v>
      </c>
      <c r="AV205" s="3">
        <f t="shared" si="193"/>
        <v>96075</v>
      </c>
      <c r="AW205" s="3">
        <f t="shared" si="193"/>
        <v>96075</v>
      </c>
      <c r="AX205" s="3">
        <f t="shared" si="193"/>
        <v>96075</v>
      </c>
      <c r="AY205" s="3">
        <f t="shared" si="193"/>
        <v>96075</v>
      </c>
      <c r="AZ205" s="3">
        <f t="shared" si="193"/>
        <v>96075</v>
      </c>
      <c r="BA205" s="3">
        <f t="shared" si="193"/>
        <v>96075</v>
      </c>
      <c r="BB205" s="3">
        <f t="shared" si="193"/>
        <v>96075</v>
      </c>
      <c r="BC205" s="3">
        <f>36250+59825</f>
        <v>96075</v>
      </c>
      <c r="BD205" s="3">
        <f>SUM(AR205:BC205)</f>
        <v>1152900</v>
      </c>
    </row>
    <row r="206" spans="1:56" ht="13.5" thickBot="1" x14ac:dyDescent="0.35">
      <c r="D206" s="13" t="s">
        <v>100</v>
      </c>
      <c r="E206" s="14">
        <f t="shared" ref="E206:P206" si="194">SUM(E203:E205)</f>
        <v>97641.25</v>
      </c>
      <c r="F206" s="14">
        <f t="shared" si="194"/>
        <v>97391.25</v>
      </c>
      <c r="G206" s="14">
        <f t="shared" si="194"/>
        <v>97391.25</v>
      </c>
      <c r="H206" s="14">
        <f t="shared" si="194"/>
        <v>97391.25</v>
      </c>
      <c r="I206" s="14">
        <f t="shared" si="194"/>
        <v>97391.25</v>
      </c>
      <c r="J206" s="14">
        <f t="shared" si="194"/>
        <v>97391.25</v>
      </c>
      <c r="K206" s="14">
        <f t="shared" si="194"/>
        <v>97391.25</v>
      </c>
      <c r="L206" s="14">
        <f t="shared" si="194"/>
        <v>97391.25</v>
      </c>
      <c r="M206" s="14">
        <f t="shared" si="194"/>
        <v>97360.41</v>
      </c>
      <c r="N206" s="14">
        <f t="shared" si="194"/>
        <v>97360.41</v>
      </c>
      <c r="O206" s="14">
        <f t="shared" si="194"/>
        <v>97360.41</v>
      </c>
      <c r="P206" s="14">
        <f t="shared" si="194"/>
        <v>97360.45</v>
      </c>
      <c r="Q206" s="14">
        <f>SUM(Q203:Q205)</f>
        <v>1168821.68</v>
      </c>
      <c r="R206" s="14">
        <f t="shared" ref="R206:AC206" si="195">SUM(R203:R205)</f>
        <v>97577.08</v>
      </c>
      <c r="S206" s="14">
        <f t="shared" si="195"/>
        <v>97327.08</v>
      </c>
      <c r="T206" s="14">
        <f t="shared" si="195"/>
        <v>97327.08</v>
      </c>
      <c r="U206" s="14">
        <f t="shared" si="195"/>
        <v>97327.08</v>
      </c>
      <c r="V206" s="14">
        <f t="shared" si="195"/>
        <v>97327.08</v>
      </c>
      <c r="W206" s="14">
        <f t="shared" si="195"/>
        <v>97327.060000000012</v>
      </c>
      <c r="X206" s="14">
        <f t="shared" si="195"/>
        <v>97327.08</v>
      </c>
      <c r="Y206" s="14">
        <f t="shared" si="195"/>
        <v>97327.08</v>
      </c>
      <c r="Z206" s="14">
        <f t="shared" si="195"/>
        <v>97295</v>
      </c>
      <c r="AA206" s="14">
        <f t="shared" si="195"/>
        <v>97295</v>
      </c>
      <c r="AB206" s="14">
        <f t="shared" si="195"/>
        <v>97295</v>
      </c>
      <c r="AC206" s="14">
        <f t="shared" si="195"/>
        <v>97295.02</v>
      </c>
      <c r="AD206" s="14">
        <f>SUM(AD203:AD205)</f>
        <v>1168046.6399999999</v>
      </c>
      <c r="AE206" s="14">
        <f>SUM(AE203:AE205)</f>
        <v>97461.66</v>
      </c>
      <c r="AF206" s="14">
        <f>SUM(AF203:AF205)</f>
        <v>97211.66</v>
      </c>
      <c r="AG206" s="14">
        <f t="shared" ref="AG206:AP206" si="196">SUM(AG203:AG205)</f>
        <v>97211.66</v>
      </c>
      <c r="AH206" s="14">
        <f t="shared" si="196"/>
        <v>97211.66</v>
      </c>
      <c r="AI206" s="14">
        <f t="shared" si="196"/>
        <v>97211.66</v>
      </c>
      <c r="AJ206" s="14">
        <f t="shared" si="196"/>
        <v>97211.68</v>
      </c>
      <c r="AK206" s="14">
        <f t="shared" si="196"/>
        <v>97211.66</v>
      </c>
      <c r="AL206" s="14">
        <f t="shared" si="196"/>
        <v>97211.66</v>
      </c>
      <c r="AM206" s="14">
        <f t="shared" si="196"/>
        <v>97178.33</v>
      </c>
      <c r="AN206" s="14">
        <f t="shared" si="196"/>
        <v>97178.33</v>
      </c>
      <c r="AO206" s="14">
        <f t="shared" si="196"/>
        <v>97178.33</v>
      </c>
      <c r="AP206" s="14">
        <f t="shared" si="196"/>
        <v>97178.39</v>
      </c>
      <c r="AQ206" s="22">
        <f>SUM(AQ203:AQ205)</f>
        <v>1166656.68</v>
      </c>
      <c r="AR206" s="22">
        <f t="shared" ref="AR206:BD206" si="197">SUM(AR203:AR205)</f>
        <v>97711.67</v>
      </c>
      <c r="AS206" s="22">
        <f t="shared" si="197"/>
        <v>97461.67</v>
      </c>
      <c r="AT206" s="22">
        <f t="shared" si="197"/>
        <v>97461.67</v>
      </c>
      <c r="AU206" s="22">
        <f t="shared" si="197"/>
        <v>97461.67</v>
      </c>
      <c r="AV206" s="22">
        <f t="shared" si="197"/>
        <v>97461.67</v>
      </c>
      <c r="AW206" s="22">
        <f t="shared" si="197"/>
        <v>97461.67</v>
      </c>
      <c r="AX206" s="22">
        <f t="shared" si="197"/>
        <v>97461.67</v>
      </c>
      <c r="AY206" s="22">
        <f t="shared" si="197"/>
        <v>97461.67</v>
      </c>
      <c r="AZ206" s="22">
        <f t="shared" si="197"/>
        <v>97427.08</v>
      </c>
      <c r="BA206" s="22">
        <f t="shared" si="197"/>
        <v>97427.08</v>
      </c>
      <c r="BB206" s="22">
        <f t="shared" si="197"/>
        <v>97427.08</v>
      </c>
      <c r="BC206" s="22">
        <f t="shared" si="197"/>
        <v>97427.08</v>
      </c>
      <c r="BD206" s="22">
        <f t="shared" si="197"/>
        <v>1169651.68</v>
      </c>
    </row>
    <row r="207" spans="1:56" x14ac:dyDescent="0.3">
      <c r="D207" s="15"/>
    </row>
    <row r="208" spans="1:56" ht="15.5" x14ac:dyDescent="0.35">
      <c r="C208" s="30" t="s">
        <v>6</v>
      </c>
      <c r="D208" s="10" t="s">
        <v>101</v>
      </c>
    </row>
    <row r="209" spans="1:56" x14ac:dyDescent="0.3">
      <c r="D209" s="8" t="s">
        <v>8</v>
      </c>
      <c r="E209" s="12">
        <v>0</v>
      </c>
      <c r="F209" s="12">
        <v>0</v>
      </c>
      <c r="G209" s="12">
        <v>0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f>SUM(E209:P209)</f>
        <v>0</v>
      </c>
    </row>
    <row r="210" spans="1:56" x14ac:dyDescent="0.3">
      <c r="D210" s="8" t="s">
        <v>9</v>
      </c>
      <c r="E210" s="11">
        <v>250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2">
        <f>SUM(E210:P210)</f>
        <v>250</v>
      </c>
    </row>
    <row r="211" spans="1:56" ht="13.5" thickBot="1" x14ac:dyDescent="0.35">
      <c r="A211" t="s">
        <v>102</v>
      </c>
      <c r="D211" s="8" t="s">
        <v>10</v>
      </c>
      <c r="E211" s="12">
        <v>50618.29</v>
      </c>
      <c r="F211" s="12">
        <v>50618.29</v>
      </c>
      <c r="G211" s="12">
        <v>50618.29</v>
      </c>
      <c r="H211" s="12"/>
      <c r="I211" s="12"/>
      <c r="J211" s="12"/>
      <c r="K211" s="12"/>
      <c r="L211" s="12"/>
      <c r="M211" s="12"/>
      <c r="N211" s="12"/>
      <c r="O211" s="11"/>
      <c r="P211" s="11"/>
      <c r="Q211" s="12">
        <f>SUM(E211:P211)</f>
        <v>151854.87</v>
      </c>
    </row>
    <row r="212" spans="1:56" ht="13.5" thickBot="1" x14ac:dyDescent="0.35">
      <c r="D212" s="13" t="s">
        <v>103</v>
      </c>
      <c r="E212" s="14">
        <f t="shared" ref="E212:P212" si="198">SUM(E209:E211)</f>
        <v>50868.29</v>
      </c>
      <c r="F212" s="14">
        <f t="shared" si="198"/>
        <v>50618.29</v>
      </c>
      <c r="G212" s="14">
        <f t="shared" si="198"/>
        <v>50618.29</v>
      </c>
      <c r="H212" s="14">
        <f t="shared" si="198"/>
        <v>0</v>
      </c>
      <c r="I212" s="14">
        <f t="shared" si="198"/>
        <v>0</v>
      </c>
      <c r="J212" s="14">
        <f t="shared" si="198"/>
        <v>0</v>
      </c>
      <c r="K212" s="14">
        <f t="shared" si="198"/>
        <v>0</v>
      </c>
      <c r="L212" s="14">
        <f t="shared" si="198"/>
        <v>0</v>
      </c>
      <c r="M212" s="14">
        <f t="shared" si="198"/>
        <v>0</v>
      </c>
      <c r="N212" s="14">
        <f t="shared" si="198"/>
        <v>0</v>
      </c>
      <c r="O212" s="14">
        <f t="shared" si="198"/>
        <v>0</v>
      </c>
      <c r="P212" s="14">
        <f t="shared" si="198"/>
        <v>0</v>
      </c>
      <c r="Q212" s="14">
        <f>SUM(Q209:Q211)</f>
        <v>152104.87</v>
      </c>
    </row>
    <row r="213" spans="1:56" x14ac:dyDescent="0.3">
      <c r="D213" s="15"/>
    </row>
    <row r="214" spans="1:56" ht="15.5" x14ac:dyDescent="0.35">
      <c r="B214" s="1">
        <f>B202+1</f>
        <v>27</v>
      </c>
      <c r="C214" s="24" t="s">
        <v>14</v>
      </c>
      <c r="D214" s="25" t="s">
        <v>104</v>
      </c>
    </row>
    <row r="215" spans="1:56" x14ac:dyDescent="0.3">
      <c r="D215" s="8" t="s">
        <v>8</v>
      </c>
      <c r="E215" s="11">
        <v>1938.75</v>
      </c>
      <c r="F215" s="11">
        <v>1938.75</v>
      </c>
      <c r="G215" s="11">
        <v>1938.75</v>
      </c>
      <c r="H215" s="11">
        <v>1938.75</v>
      </c>
      <c r="I215" s="11">
        <v>1938.75</v>
      </c>
      <c r="J215" s="11">
        <v>1938.75</v>
      </c>
      <c r="K215" s="11">
        <v>1938.75</v>
      </c>
      <c r="L215" s="11">
        <v>1938.75</v>
      </c>
      <c r="M215" s="11">
        <v>1938.75</v>
      </c>
      <c r="N215" s="11">
        <v>1938.75</v>
      </c>
      <c r="O215" s="11">
        <v>1895.83</v>
      </c>
      <c r="P215" s="11">
        <v>1895.83</v>
      </c>
      <c r="Q215" s="12">
        <f>SUM(E215:P215)</f>
        <v>23179.160000000003</v>
      </c>
      <c r="R215" s="11">
        <v>1895.83</v>
      </c>
      <c r="S215" s="11">
        <v>1895.83</v>
      </c>
      <c r="T215" s="11">
        <v>1895.83</v>
      </c>
      <c r="U215" s="11">
        <v>1895.83</v>
      </c>
      <c r="V215" s="11">
        <v>1895.83</v>
      </c>
      <c r="W215" s="11">
        <v>1895.83</v>
      </c>
      <c r="X215" s="11">
        <v>1895.83</v>
      </c>
      <c r="Y215" s="11">
        <v>1895.83</v>
      </c>
      <c r="Z215" s="11">
        <v>1895.83</v>
      </c>
      <c r="AA215" s="11">
        <v>1895.83</v>
      </c>
      <c r="AB215" s="11">
        <v>1851.67</v>
      </c>
      <c r="AC215" s="11">
        <v>1851.67</v>
      </c>
      <c r="AD215" s="12">
        <f>SUM(R215:AC215)</f>
        <v>22661.64</v>
      </c>
      <c r="AE215" s="11">
        <v>1851.67</v>
      </c>
      <c r="AF215" s="11">
        <v>1851.67</v>
      </c>
      <c r="AG215" s="11">
        <v>1851.67</v>
      </c>
      <c r="AH215" s="11">
        <v>1851.67</v>
      </c>
      <c r="AI215" s="11">
        <v>1851.67</v>
      </c>
      <c r="AJ215" s="11">
        <v>1851.67</v>
      </c>
      <c r="AK215" s="11">
        <v>1851.67</v>
      </c>
      <c r="AL215" s="11">
        <v>1851.67</v>
      </c>
      <c r="AM215" s="11">
        <v>1851.67</v>
      </c>
      <c r="AN215" s="11">
        <v>1851.67</v>
      </c>
      <c r="AO215" s="12">
        <v>1805.42</v>
      </c>
      <c r="AP215" s="12">
        <v>1805.42</v>
      </c>
      <c r="AQ215" s="3">
        <f>SUM(AE215:AP215)</f>
        <v>22127.539999999994</v>
      </c>
      <c r="AR215" s="60">
        <v>1757.5</v>
      </c>
      <c r="AS215" s="60">
        <v>1757.5</v>
      </c>
      <c r="AT215" s="3">
        <f>1805.42+47.92+47.92</f>
        <v>1901.2600000000002</v>
      </c>
      <c r="AU215" s="65">
        <v>1805.42</v>
      </c>
      <c r="AV215" s="65">
        <v>1805.42</v>
      </c>
      <c r="AW215" s="65">
        <v>1805.42</v>
      </c>
      <c r="AX215" s="65">
        <v>1805.42</v>
      </c>
      <c r="AY215" s="65">
        <v>1805.42</v>
      </c>
      <c r="AZ215" s="65">
        <v>1805.42</v>
      </c>
      <c r="BA215" s="65">
        <v>1805.42</v>
      </c>
      <c r="BB215" s="65">
        <v>1757.5</v>
      </c>
      <c r="BC215" s="65">
        <v>1757.5</v>
      </c>
      <c r="BD215" s="3">
        <f>SUM(AR215:BC215)</f>
        <v>21569.200000000001</v>
      </c>
    </row>
    <row r="216" spans="1:56" x14ac:dyDescent="0.3">
      <c r="D216" s="8" t="s">
        <v>9</v>
      </c>
      <c r="E216" s="11">
        <v>250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2">
        <f>SUM(E216:P216)</f>
        <v>250</v>
      </c>
      <c r="R216" s="11">
        <v>250</v>
      </c>
      <c r="AD216" s="12">
        <f>SUM(R216:AC216)</f>
        <v>250</v>
      </c>
      <c r="AE216" s="11">
        <v>250</v>
      </c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3">
        <f>SUM(AE216:AP216)</f>
        <v>250</v>
      </c>
      <c r="AR216" s="3">
        <v>250</v>
      </c>
      <c r="AS216" s="3">
        <v>0</v>
      </c>
      <c r="AT216" s="3">
        <v>0</v>
      </c>
      <c r="AU216" s="65">
        <v>0</v>
      </c>
      <c r="AV216" s="65">
        <v>0</v>
      </c>
      <c r="AW216" s="65">
        <v>0</v>
      </c>
      <c r="AX216" s="65">
        <v>0</v>
      </c>
      <c r="AY216" s="65">
        <v>0</v>
      </c>
      <c r="AZ216" s="65">
        <v>0</v>
      </c>
      <c r="BA216" s="65">
        <v>0</v>
      </c>
      <c r="BB216" s="65">
        <v>0</v>
      </c>
      <c r="BC216" s="65">
        <v>0</v>
      </c>
      <c r="BD216" s="3">
        <f>SUM(AR216:BC216)</f>
        <v>250</v>
      </c>
    </row>
    <row r="217" spans="1:56" ht="13.5" thickBot="1" x14ac:dyDescent="0.35">
      <c r="A217" t="s">
        <v>105</v>
      </c>
      <c r="D217" s="8" t="s">
        <v>10</v>
      </c>
      <c r="E217" s="11">
        <f t="shared" ref="E217:N217" si="199">42916.67+76108.33</f>
        <v>119025</v>
      </c>
      <c r="F217" s="11">
        <f t="shared" si="199"/>
        <v>119025</v>
      </c>
      <c r="G217" s="11">
        <f t="shared" si="199"/>
        <v>119025</v>
      </c>
      <c r="H217" s="11">
        <f t="shared" si="199"/>
        <v>119025</v>
      </c>
      <c r="I217" s="11">
        <f>42916.67+76108.35</f>
        <v>119025.02</v>
      </c>
      <c r="J217" s="11">
        <f t="shared" si="199"/>
        <v>119025</v>
      </c>
      <c r="K217" s="11">
        <f t="shared" si="199"/>
        <v>119025</v>
      </c>
      <c r="L217" s="11">
        <f t="shared" si="199"/>
        <v>119025</v>
      </c>
      <c r="M217" s="11">
        <f t="shared" si="199"/>
        <v>119025</v>
      </c>
      <c r="N217" s="11">
        <f t="shared" si="199"/>
        <v>119025</v>
      </c>
      <c r="O217" s="11">
        <f>42916.63+76108.35</f>
        <v>119024.98000000001</v>
      </c>
      <c r="P217" s="11">
        <f>44166.67+74391.67</f>
        <v>118558.34</v>
      </c>
      <c r="Q217" s="12">
        <f>SUM(E217:P217)</f>
        <v>1427833.34</v>
      </c>
      <c r="R217" s="11">
        <f t="shared" ref="R217:AA217" si="200">44166.67+74391.67</f>
        <v>118558.34</v>
      </c>
      <c r="S217" s="11">
        <f t="shared" si="200"/>
        <v>118558.34</v>
      </c>
      <c r="T217" s="11">
        <f t="shared" si="200"/>
        <v>118558.34</v>
      </c>
      <c r="U217" s="11">
        <f t="shared" si="200"/>
        <v>118558.34</v>
      </c>
      <c r="V217" s="11">
        <f>44166.67+74391.65</f>
        <v>118558.31999999999</v>
      </c>
      <c r="W217" s="11">
        <f t="shared" si="200"/>
        <v>118558.34</v>
      </c>
      <c r="X217" s="11">
        <f t="shared" si="200"/>
        <v>118558.34</v>
      </c>
      <c r="Y217" s="11">
        <f t="shared" si="200"/>
        <v>118558.34</v>
      </c>
      <c r="Z217" s="11">
        <f t="shared" si="200"/>
        <v>118558.34</v>
      </c>
      <c r="AA217" s="11">
        <f t="shared" si="200"/>
        <v>118558.34</v>
      </c>
      <c r="AB217" s="11">
        <f>44166.63+74391.65</f>
        <v>118558.28</v>
      </c>
      <c r="AC217" s="11">
        <f>46250+72625</f>
        <v>118875</v>
      </c>
      <c r="AD217" s="12">
        <f>SUM(R217:AC217)</f>
        <v>1423016.66</v>
      </c>
      <c r="AE217" s="11">
        <f t="shared" ref="AE217:AO217" si="201">46250+72625</f>
        <v>118875</v>
      </c>
      <c r="AF217" s="11">
        <f t="shared" si="201"/>
        <v>118875</v>
      </c>
      <c r="AG217" s="11">
        <f t="shared" si="201"/>
        <v>118875</v>
      </c>
      <c r="AH217" s="11">
        <f t="shared" si="201"/>
        <v>118875</v>
      </c>
      <c r="AI217" s="11">
        <f t="shared" si="201"/>
        <v>118875</v>
      </c>
      <c r="AJ217" s="11">
        <f t="shared" si="201"/>
        <v>118875</v>
      </c>
      <c r="AK217" s="11">
        <f t="shared" si="201"/>
        <v>118875</v>
      </c>
      <c r="AL217" s="11">
        <f t="shared" si="201"/>
        <v>118875</v>
      </c>
      <c r="AM217" s="11">
        <f t="shared" si="201"/>
        <v>118875</v>
      </c>
      <c r="AN217" s="11">
        <f t="shared" si="201"/>
        <v>118875</v>
      </c>
      <c r="AO217" s="11">
        <f t="shared" si="201"/>
        <v>118875</v>
      </c>
      <c r="AP217" s="12">
        <f>47916.67+70775</f>
        <v>118691.67</v>
      </c>
      <c r="AQ217" s="3">
        <f>SUM(AE217:AP217)</f>
        <v>1426316.67</v>
      </c>
      <c r="AR217" s="60">
        <f>50000+68379.17</f>
        <v>118379.17</v>
      </c>
      <c r="AS217" s="60">
        <f>50000+68379.17</f>
        <v>118379.17</v>
      </c>
      <c r="AT217" s="3">
        <f>47916.67+70775+312.5+312.5</f>
        <v>119316.67</v>
      </c>
      <c r="AU217" s="65">
        <f t="shared" ref="AU217:BA217" si="202">47916.67+70775</f>
        <v>118691.67</v>
      </c>
      <c r="AV217" s="65">
        <f t="shared" si="202"/>
        <v>118691.67</v>
      </c>
      <c r="AW217" s="65">
        <f t="shared" si="202"/>
        <v>118691.67</v>
      </c>
      <c r="AX217" s="65">
        <f t="shared" si="202"/>
        <v>118691.67</v>
      </c>
      <c r="AY217" s="65">
        <f t="shared" si="202"/>
        <v>118691.67</v>
      </c>
      <c r="AZ217" s="65">
        <f t="shared" si="202"/>
        <v>118691.67</v>
      </c>
      <c r="BA217" s="65">
        <f t="shared" si="202"/>
        <v>118691.67</v>
      </c>
      <c r="BB217" s="65">
        <f>47916.63+70775</f>
        <v>118691.63</v>
      </c>
      <c r="BC217" s="65">
        <f>50000+68379.17</f>
        <v>118379.17</v>
      </c>
      <c r="BD217" s="3">
        <f>SUM(AR217:BC217)</f>
        <v>1423987.5</v>
      </c>
    </row>
    <row r="218" spans="1:56" ht="13.5" thickBot="1" x14ac:dyDescent="0.35">
      <c r="D218" s="13" t="s">
        <v>106</v>
      </c>
      <c r="E218" s="14">
        <f t="shared" ref="E218:P218" si="203">SUM(E215:E217)</f>
        <v>121213.75</v>
      </c>
      <c r="F218" s="14">
        <f t="shared" si="203"/>
        <v>120963.75</v>
      </c>
      <c r="G218" s="14">
        <f t="shared" si="203"/>
        <v>120963.75</v>
      </c>
      <c r="H218" s="14">
        <f t="shared" si="203"/>
        <v>120963.75</v>
      </c>
      <c r="I218" s="14">
        <f t="shared" si="203"/>
        <v>120963.77</v>
      </c>
      <c r="J218" s="14">
        <f t="shared" si="203"/>
        <v>120963.75</v>
      </c>
      <c r="K218" s="14">
        <f t="shared" si="203"/>
        <v>120963.75</v>
      </c>
      <c r="L218" s="14">
        <f t="shared" si="203"/>
        <v>120963.75</v>
      </c>
      <c r="M218" s="14">
        <f t="shared" si="203"/>
        <v>120963.75</v>
      </c>
      <c r="N218" s="14">
        <f t="shared" si="203"/>
        <v>120963.75</v>
      </c>
      <c r="O218" s="14">
        <f t="shared" si="203"/>
        <v>120920.81000000001</v>
      </c>
      <c r="P218" s="14">
        <f t="shared" si="203"/>
        <v>120454.17</v>
      </c>
      <c r="Q218" s="14">
        <f>SUM(Q215:Q217)</f>
        <v>1451262.5</v>
      </c>
      <c r="R218" s="14">
        <f t="shared" ref="R218:AC218" si="204">SUM(R215:R217)</f>
        <v>120704.17</v>
      </c>
      <c r="S218" s="14">
        <f t="shared" si="204"/>
        <v>120454.17</v>
      </c>
      <c r="T218" s="14">
        <f t="shared" si="204"/>
        <v>120454.17</v>
      </c>
      <c r="U218" s="14">
        <f t="shared" si="204"/>
        <v>120454.17</v>
      </c>
      <c r="V218" s="14">
        <f t="shared" si="204"/>
        <v>120454.15</v>
      </c>
      <c r="W218" s="14">
        <f t="shared" si="204"/>
        <v>120454.17</v>
      </c>
      <c r="X218" s="14">
        <f t="shared" si="204"/>
        <v>120454.17</v>
      </c>
      <c r="Y218" s="14">
        <f t="shared" si="204"/>
        <v>120454.17</v>
      </c>
      <c r="Z218" s="14">
        <f t="shared" si="204"/>
        <v>120454.17</v>
      </c>
      <c r="AA218" s="14">
        <f t="shared" si="204"/>
        <v>120454.17</v>
      </c>
      <c r="AB218" s="14">
        <f t="shared" si="204"/>
        <v>120409.95</v>
      </c>
      <c r="AC218" s="14">
        <f t="shared" si="204"/>
        <v>120726.67</v>
      </c>
      <c r="AD218" s="14">
        <f>SUM(AD215:AD217)</f>
        <v>1445928.2999999998</v>
      </c>
      <c r="AE218" s="14">
        <f>SUM(AE215:AE217)</f>
        <v>120976.67</v>
      </c>
      <c r="AF218" s="14">
        <f>SUM(AF215:AF217)</f>
        <v>120726.67</v>
      </c>
      <c r="AG218" s="14">
        <f t="shared" ref="AG218:AP218" si="205">SUM(AG215:AG217)</f>
        <v>120726.67</v>
      </c>
      <c r="AH218" s="14">
        <f t="shared" si="205"/>
        <v>120726.67</v>
      </c>
      <c r="AI218" s="14">
        <f t="shared" si="205"/>
        <v>120726.67</v>
      </c>
      <c r="AJ218" s="14">
        <f t="shared" si="205"/>
        <v>120726.67</v>
      </c>
      <c r="AK218" s="14">
        <f t="shared" si="205"/>
        <v>120726.67</v>
      </c>
      <c r="AL218" s="14">
        <f t="shared" si="205"/>
        <v>120726.67</v>
      </c>
      <c r="AM218" s="14">
        <f t="shared" si="205"/>
        <v>120726.67</v>
      </c>
      <c r="AN218" s="14">
        <f t="shared" si="205"/>
        <v>120726.67</v>
      </c>
      <c r="AO218" s="14">
        <f t="shared" si="205"/>
        <v>120680.42</v>
      </c>
      <c r="AP218" s="14">
        <f t="shared" si="205"/>
        <v>120497.09</v>
      </c>
      <c r="AQ218" s="22">
        <f>SUM(AQ215:AQ217)</f>
        <v>1448694.21</v>
      </c>
      <c r="AR218" s="22">
        <f t="shared" ref="AR218:BD218" si="206">SUM(AR215:AR217)</f>
        <v>120386.67</v>
      </c>
      <c r="AS218" s="22">
        <f t="shared" si="206"/>
        <v>120136.67</v>
      </c>
      <c r="AT218" s="22">
        <f t="shared" si="206"/>
        <v>121217.93</v>
      </c>
      <c r="AU218" s="22">
        <f t="shared" si="206"/>
        <v>120497.09</v>
      </c>
      <c r="AV218" s="22">
        <f t="shared" si="206"/>
        <v>120497.09</v>
      </c>
      <c r="AW218" s="22">
        <f t="shared" si="206"/>
        <v>120497.09</v>
      </c>
      <c r="AX218" s="22">
        <f t="shared" si="206"/>
        <v>120497.09</v>
      </c>
      <c r="AY218" s="22">
        <f t="shared" si="206"/>
        <v>120497.09</v>
      </c>
      <c r="AZ218" s="22">
        <f t="shared" si="206"/>
        <v>120497.09</v>
      </c>
      <c r="BA218" s="22">
        <f t="shared" si="206"/>
        <v>120497.09</v>
      </c>
      <c r="BB218" s="22">
        <f t="shared" si="206"/>
        <v>120449.13</v>
      </c>
      <c r="BC218" s="22">
        <f t="shared" si="206"/>
        <v>120136.67</v>
      </c>
      <c r="BD218" s="22">
        <f t="shared" si="206"/>
        <v>1445806.7</v>
      </c>
    </row>
    <row r="219" spans="1:56" x14ac:dyDescent="0.3">
      <c r="D219" s="15"/>
    </row>
    <row r="220" spans="1:56" ht="15.5" x14ac:dyDescent="0.35">
      <c r="B220" s="1">
        <f>B214+1</f>
        <v>28</v>
      </c>
      <c r="C220" s="24" t="s">
        <v>14</v>
      </c>
      <c r="D220" s="25" t="s">
        <v>107</v>
      </c>
    </row>
    <row r="221" spans="1:56" x14ac:dyDescent="0.3">
      <c r="D221" s="8" t="s">
        <v>8</v>
      </c>
      <c r="E221" s="11">
        <v>435.42</v>
      </c>
      <c r="F221" s="11">
        <v>435.42</v>
      </c>
      <c r="G221" s="11">
        <v>435.42</v>
      </c>
      <c r="H221" s="11">
        <v>435.42</v>
      </c>
      <c r="I221" s="11">
        <v>435.42</v>
      </c>
      <c r="J221" s="11">
        <v>435.42</v>
      </c>
      <c r="K221" s="11">
        <v>435.42</v>
      </c>
      <c r="L221" s="11">
        <v>435.42</v>
      </c>
      <c r="M221" s="11">
        <v>435.42</v>
      </c>
      <c r="N221" s="11">
        <v>435.42</v>
      </c>
      <c r="O221" s="11">
        <v>415.83</v>
      </c>
      <c r="P221" s="11">
        <v>415.83</v>
      </c>
      <c r="Q221" s="12">
        <f>SUM(E221:P221)</f>
        <v>5185.8599999999997</v>
      </c>
      <c r="R221" s="11">
        <v>415.83</v>
      </c>
      <c r="S221" s="11">
        <v>415.83</v>
      </c>
      <c r="T221" s="11">
        <v>415.83</v>
      </c>
      <c r="U221" s="11">
        <v>415.83</v>
      </c>
      <c r="V221" s="11">
        <v>415.83</v>
      </c>
      <c r="W221" s="11">
        <v>415.83</v>
      </c>
      <c r="X221" s="11">
        <v>415.83</v>
      </c>
      <c r="Y221" s="11">
        <v>415.83</v>
      </c>
      <c r="Z221" s="11">
        <v>415.83</v>
      </c>
      <c r="AA221" s="11">
        <v>415.83</v>
      </c>
      <c r="AB221" s="11">
        <v>395.42</v>
      </c>
      <c r="AC221" s="11">
        <v>395.42</v>
      </c>
      <c r="AD221" s="12">
        <f>SUM(R221:AC221)</f>
        <v>4949.1400000000003</v>
      </c>
      <c r="AE221" s="11">
        <v>395.42</v>
      </c>
      <c r="AF221" s="11">
        <v>395.42</v>
      </c>
      <c r="AG221" s="11">
        <v>395.42</v>
      </c>
      <c r="AH221" s="11">
        <v>395.42</v>
      </c>
      <c r="AI221" s="11">
        <v>395.42</v>
      </c>
      <c r="AJ221" s="11">
        <v>395.42</v>
      </c>
      <c r="AK221" s="11">
        <v>395.42</v>
      </c>
      <c r="AL221" s="11">
        <v>395.42</v>
      </c>
      <c r="AM221" s="11">
        <v>395.42</v>
      </c>
      <c r="AN221" s="11">
        <v>395.42</v>
      </c>
      <c r="AO221" s="12">
        <v>374.17</v>
      </c>
      <c r="AP221" s="12">
        <v>374.17</v>
      </c>
      <c r="AQ221" s="3">
        <f>SUM(AE221:AP221)</f>
        <v>4702.54</v>
      </c>
      <c r="AR221" s="3">
        <v>374.17</v>
      </c>
      <c r="AS221" s="3">
        <v>374.17</v>
      </c>
      <c r="AT221" s="3">
        <v>374.17</v>
      </c>
      <c r="AU221" s="3">
        <v>374.17</v>
      </c>
      <c r="AV221" s="3">
        <v>374.17</v>
      </c>
      <c r="AW221" s="3">
        <v>374.17</v>
      </c>
      <c r="AX221" s="3">
        <v>374.17</v>
      </c>
      <c r="AY221" s="3">
        <v>374.17</v>
      </c>
      <c r="AZ221" s="3">
        <v>374.17</v>
      </c>
      <c r="BA221" s="3">
        <v>374.17</v>
      </c>
      <c r="BB221" s="3">
        <v>352.08</v>
      </c>
      <c r="BC221" s="3">
        <v>352.08</v>
      </c>
      <c r="BD221" s="3">
        <f>SUM(AR221:BC221)</f>
        <v>4445.8600000000006</v>
      </c>
    </row>
    <row r="222" spans="1:56" x14ac:dyDescent="0.3">
      <c r="D222" s="8" t="s">
        <v>9</v>
      </c>
      <c r="E222" s="11">
        <v>250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2">
        <f>SUM(E222:P222)</f>
        <v>250</v>
      </c>
      <c r="R222" s="11">
        <v>250</v>
      </c>
      <c r="AD222" s="12">
        <f>SUM(R222:AC222)</f>
        <v>250</v>
      </c>
      <c r="AE222" s="11">
        <v>250</v>
      </c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3">
        <f>SUM(AE222:AP222)</f>
        <v>250</v>
      </c>
      <c r="AR222" s="3">
        <v>250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f>SUM(AR222:BC222)</f>
        <v>250</v>
      </c>
    </row>
    <row r="223" spans="1:56" ht="13.5" thickBot="1" x14ac:dyDescent="0.35">
      <c r="A223" t="s">
        <v>108</v>
      </c>
      <c r="D223" s="8" t="s">
        <v>10</v>
      </c>
      <c r="E223" s="11">
        <f>19583.33+17270.83</f>
        <v>36854.160000000003</v>
      </c>
      <c r="F223" s="11">
        <f>19583.33+17270.83</f>
        <v>36854.160000000003</v>
      </c>
      <c r="G223" s="11">
        <f>19583.33+17270.83</f>
        <v>36854.160000000003</v>
      </c>
      <c r="H223" s="11">
        <f>19583.33+17270.83</f>
        <v>36854.160000000003</v>
      </c>
      <c r="I223" s="11">
        <f>19583.37+17270.85</f>
        <v>36854.22</v>
      </c>
      <c r="J223" s="11">
        <f>20416.67+16487.5</f>
        <v>36904.17</v>
      </c>
      <c r="K223" s="11">
        <f t="shared" ref="K223:U223" si="207">20416.67+16487.5</f>
        <v>36904.17</v>
      </c>
      <c r="L223" s="11">
        <f t="shared" si="207"/>
        <v>36904.17</v>
      </c>
      <c r="M223" s="11">
        <f t="shared" si="207"/>
        <v>36904.17</v>
      </c>
      <c r="N223" s="11">
        <f t="shared" si="207"/>
        <v>36904.17</v>
      </c>
      <c r="O223" s="11">
        <f t="shared" si="207"/>
        <v>36904.17</v>
      </c>
      <c r="P223" s="11">
        <f t="shared" si="207"/>
        <v>36904.17</v>
      </c>
      <c r="Q223" s="12">
        <f>SUM(E223:P223)</f>
        <v>442600.04999999993</v>
      </c>
      <c r="R223" s="11">
        <f t="shared" si="207"/>
        <v>36904.17</v>
      </c>
      <c r="S223" s="11">
        <f t="shared" si="207"/>
        <v>36904.17</v>
      </c>
      <c r="T223" s="11">
        <f t="shared" si="207"/>
        <v>36904.17</v>
      </c>
      <c r="U223" s="11">
        <f t="shared" si="207"/>
        <v>36904.17</v>
      </c>
      <c r="V223" s="11">
        <f>20416.63+16487.5</f>
        <v>36904.130000000005</v>
      </c>
      <c r="W223" s="11">
        <f>21250+15670.83</f>
        <v>36920.83</v>
      </c>
      <c r="X223" s="11">
        <f t="shared" ref="X223:AH223" si="208">21250+15670.83</f>
        <v>36920.83</v>
      </c>
      <c r="Y223" s="11">
        <f t="shared" si="208"/>
        <v>36920.83</v>
      </c>
      <c r="Z223" s="11">
        <f t="shared" si="208"/>
        <v>36920.83</v>
      </c>
      <c r="AA223" s="11">
        <f t="shared" si="208"/>
        <v>36920.83</v>
      </c>
      <c r="AB223" s="11">
        <f>21250+15670.85</f>
        <v>36920.85</v>
      </c>
      <c r="AC223" s="11">
        <f t="shared" si="208"/>
        <v>36920.83</v>
      </c>
      <c r="AD223" s="12">
        <f>SUM(R223:AC223)</f>
        <v>442966.64000000007</v>
      </c>
      <c r="AE223" s="11">
        <f t="shared" si="208"/>
        <v>36920.83</v>
      </c>
      <c r="AF223" s="11">
        <f t="shared" si="208"/>
        <v>36920.83</v>
      </c>
      <c r="AG223" s="11">
        <f t="shared" si="208"/>
        <v>36920.83</v>
      </c>
      <c r="AH223" s="11">
        <f t="shared" si="208"/>
        <v>36920.83</v>
      </c>
      <c r="AI223" s="11">
        <f>21250+15670.85</f>
        <v>36920.85</v>
      </c>
      <c r="AJ223" s="12">
        <f>22083.33+14820.83</f>
        <v>36904.160000000003</v>
      </c>
      <c r="AK223" s="12">
        <f t="shared" ref="AK223:AP223" si="209">22083.33+14820.83</f>
        <v>36904.160000000003</v>
      </c>
      <c r="AL223" s="12">
        <f t="shared" si="209"/>
        <v>36904.160000000003</v>
      </c>
      <c r="AM223" s="12">
        <f t="shared" si="209"/>
        <v>36904.160000000003</v>
      </c>
      <c r="AN223" s="12">
        <f t="shared" si="209"/>
        <v>36904.160000000003</v>
      </c>
      <c r="AO223" s="12">
        <f>22083.33+14820.85</f>
        <v>36904.18</v>
      </c>
      <c r="AP223" s="12">
        <f t="shared" si="209"/>
        <v>36904.160000000003</v>
      </c>
      <c r="AQ223" s="3">
        <f>SUM(AE223:AP223)</f>
        <v>442933.31000000006</v>
      </c>
      <c r="AR223" s="3">
        <f>22083.33+14820.83</f>
        <v>36904.160000000003</v>
      </c>
      <c r="AS223" s="3">
        <f>22083.33+14820.83</f>
        <v>36904.160000000003</v>
      </c>
      <c r="AT223" s="3">
        <f>22083.33+14820.83</f>
        <v>36904.160000000003</v>
      </c>
      <c r="AU223" s="3">
        <f>22083.33+14820.83</f>
        <v>36904.160000000003</v>
      </c>
      <c r="AV223" s="3">
        <f>22083.37+14820.85</f>
        <v>36904.22</v>
      </c>
      <c r="AW223" s="3">
        <f t="shared" ref="AW223:BC223" si="210">22916.67+13937.5</f>
        <v>36854.17</v>
      </c>
      <c r="AX223" s="3">
        <f t="shared" si="210"/>
        <v>36854.17</v>
      </c>
      <c r="AY223" s="3">
        <f t="shared" si="210"/>
        <v>36854.17</v>
      </c>
      <c r="AZ223" s="3">
        <f t="shared" si="210"/>
        <v>36854.17</v>
      </c>
      <c r="BA223" s="3">
        <f t="shared" si="210"/>
        <v>36854.17</v>
      </c>
      <c r="BB223" s="3">
        <f t="shared" si="210"/>
        <v>36854.17</v>
      </c>
      <c r="BC223" s="3">
        <f t="shared" si="210"/>
        <v>36854.17</v>
      </c>
      <c r="BD223" s="3">
        <f>SUM(AR223:BC223)</f>
        <v>442500.04999999993</v>
      </c>
    </row>
    <row r="224" spans="1:56" ht="13.5" thickBot="1" x14ac:dyDescent="0.35">
      <c r="D224" s="13" t="s">
        <v>109</v>
      </c>
      <c r="E224" s="14">
        <f t="shared" ref="E224:P224" si="211">SUM(E221:E223)</f>
        <v>37539.58</v>
      </c>
      <c r="F224" s="14">
        <f t="shared" si="211"/>
        <v>37289.58</v>
      </c>
      <c r="G224" s="14">
        <f t="shared" si="211"/>
        <v>37289.58</v>
      </c>
      <c r="H224" s="14">
        <f t="shared" si="211"/>
        <v>37289.58</v>
      </c>
      <c r="I224" s="14">
        <f t="shared" si="211"/>
        <v>37289.64</v>
      </c>
      <c r="J224" s="14">
        <f t="shared" si="211"/>
        <v>37339.589999999997</v>
      </c>
      <c r="K224" s="14">
        <f t="shared" si="211"/>
        <v>37339.589999999997</v>
      </c>
      <c r="L224" s="14">
        <f t="shared" si="211"/>
        <v>37339.589999999997</v>
      </c>
      <c r="M224" s="14">
        <f t="shared" si="211"/>
        <v>37339.589999999997</v>
      </c>
      <c r="N224" s="14">
        <f t="shared" si="211"/>
        <v>37339.589999999997</v>
      </c>
      <c r="O224" s="14">
        <f t="shared" si="211"/>
        <v>37320</v>
      </c>
      <c r="P224" s="14">
        <f t="shared" si="211"/>
        <v>37320</v>
      </c>
      <c r="Q224" s="14">
        <f>SUM(Q221:Q223)</f>
        <v>448035.90999999992</v>
      </c>
      <c r="R224" s="14">
        <f t="shared" ref="R224:AC224" si="212">SUM(R221:R223)</f>
        <v>37570</v>
      </c>
      <c r="S224" s="14">
        <f t="shared" si="212"/>
        <v>37320</v>
      </c>
      <c r="T224" s="14">
        <f t="shared" si="212"/>
        <v>37320</v>
      </c>
      <c r="U224" s="14">
        <f t="shared" si="212"/>
        <v>37320</v>
      </c>
      <c r="V224" s="14">
        <f t="shared" si="212"/>
        <v>37319.960000000006</v>
      </c>
      <c r="W224" s="14">
        <f t="shared" si="212"/>
        <v>37336.660000000003</v>
      </c>
      <c r="X224" s="14">
        <f t="shared" si="212"/>
        <v>37336.660000000003</v>
      </c>
      <c r="Y224" s="14">
        <f t="shared" si="212"/>
        <v>37336.660000000003</v>
      </c>
      <c r="Z224" s="14">
        <f t="shared" si="212"/>
        <v>37336.660000000003</v>
      </c>
      <c r="AA224" s="14">
        <f t="shared" si="212"/>
        <v>37336.660000000003</v>
      </c>
      <c r="AB224" s="14">
        <f t="shared" si="212"/>
        <v>37316.269999999997</v>
      </c>
      <c r="AC224" s="14">
        <f t="shared" si="212"/>
        <v>37316.25</v>
      </c>
      <c r="AD224" s="14">
        <f>SUM(AD221:AD223)</f>
        <v>448165.78000000009</v>
      </c>
      <c r="AE224" s="14">
        <f>SUM(AE221:AE223)</f>
        <v>37566.25</v>
      </c>
      <c r="AF224" s="14">
        <f>SUM(AF221:AF223)</f>
        <v>37316.25</v>
      </c>
      <c r="AG224" s="14">
        <f t="shared" ref="AG224:AP224" si="213">SUM(AG221:AG223)</f>
        <v>37316.25</v>
      </c>
      <c r="AH224" s="14">
        <f t="shared" si="213"/>
        <v>37316.25</v>
      </c>
      <c r="AI224" s="14">
        <f t="shared" si="213"/>
        <v>37316.269999999997</v>
      </c>
      <c r="AJ224" s="14">
        <f t="shared" si="213"/>
        <v>37299.58</v>
      </c>
      <c r="AK224" s="14">
        <f t="shared" si="213"/>
        <v>37299.58</v>
      </c>
      <c r="AL224" s="14">
        <f t="shared" si="213"/>
        <v>37299.58</v>
      </c>
      <c r="AM224" s="14">
        <f t="shared" si="213"/>
        <v>37299.58</v>
      </c>
      <c r="AN224" s="14">
        <f t="shared" si="213"/>
        <v>37299.58</v>
      </c>
      <c r="AO224" s="14">
        <f t="shared" si="213"/>
        <v>37278.35</v>
      </c>
      <c r="AP224" s="14">
        <f t="shared" si="213"/>
        <v>37278.33</v>
      </c>
      <c r="AQ224" s="22">
        <f>SUM(AQ221:AQ223)</f>
        <v>447885.85000000003</v>
      </c>
      <c r="AR224" s="22">
        <f t="shared" ref="AR224:BD224" si="214">SUM(AR221:AR223)</f>
        <v>37528.33</v>
      </c>
      <c r="AS224" s="22">
        <f t="shared" si="214"/>
        <v>37278.33</v>
      </c>
      <c r="AT224" s="22">
        <f t="shared" si="214"/>
        <v>37278.33</v>
      </c>
      <c r="AU224" s="22">
        <f t="shared" si="214"/>
        <v>37278.33</v>
      </c>
      <c r="AV224" s="22">
        <f t="shared" si="214"/>
        <v>37278.39</v>
      </c>
      <c r="AW224" s="22">
        <f t="shared" si="214"/>
        <v>37228.339999999997</v>
      </c>
      <c r="AX224" s="22">
        <f t="shared" si="214"/>
        <v>37228.339999999997</v>
      </c>
      <c r="AY224" s="22">
        <f t="shared" si="214"/>
        <v>37228.339999999997</v>
      </c>
      <c r="AZ224" s="22">
        <f t="shared" si="214"/>
        <v>37228.339999999997</v>
      </c>
      <c r="BA224" s="22">
        <f t="shared" si="214"/>
        <v>37228.339999999997</v>
      </c>
      <c r="BB224" s="22">
        <f t="shared" si="214"/>
        <v>37206.25</v>
      </c>
      <c r="BC224" s="22">
        <f t="shared" si="214"/>
        <v>37206.25</v>
      </c>
      <c r="BD224" s="22">
        <f t="shared" si="214"/>
        <v>447195.90999999992</v>
      </c>
    </row>
    <row r="225" spans="1:56" x14ac:dyDescent="0.3">
      <c r="D225" s="15"/>
    </row>
    <row r="226" spans="1:56" ht="15.5" x14ac:dyDescent="0.35">
      <c r="B226" s="1">
        <f>B220+1</f>
        <v>29</v>
      </c>
      <c r="C226" s="24" t="s">
        <v>14</v>
      </c>
      <c r="D226" s="25" t="s">
        <v>110</v>
      </c>
    </row>
    <row r="227" spans="1:56" x14ac:dyDescent="0.3">
      <c r="D227" s="8" t="s">
        <v>8</v>
      </c>
      <c r="E227" s="12">
        <v>1027.08</v>
      </c>
      <c r="F227" s="12">
        <v>1027.08</v>
      </c>
      <c r="G227" s="12">
        <v>1027.08</v>
      </c>
      <c r="H227" s="12">
        <v>1027.08</v>
      </c>
      <c r="I227" s="12">
        <v>1027.08</v>
      </c>
      <c r="J227" s="12">
        <v>1027.08</v>
      </c>
      <c r="K227" s="12">
        <v>1027.08</v>
      </c>
      <c r="L227" s="12">
        <v>1027.08</v>
      </c>
      <c r="M227" s="12">
        <v>1027.08</v>
      </c>
      <c r="N227" s="12">
        <v>1027.08</v>
      </c>
      <c r="O227" s="12">
        <v>1027.08</v>
      </c>
      <c r="P227" s="11">
        <v>1005</v>
      </c>
      <c r="Q227" s="12">
        <f>SUM(E227:P227)</f>
        <v>12302.88</v>
      </c>
      <c r="R227" s="11">
        <v>1005</v>
      </c>
      <c r="S227" s="11">
        <v>1005</v>
      </c>
      <c r="T227" s="11">
        <v>1005</v>
      </c>
      <c r="U227" s="11">
        <v>1005</v>
      </c>
      <c r="V227" s="11">
        <v>1005</v>
      </c>
      <c r="W227" s="11">
        <v>1005</v>
      </c>
      <c r="X227" s="11">
        <v>1005</v>
      </c>
      <c r="Y227" s="11">
        <v>1005</v>
      </c>
      <c r="Z227" s="11">
        <v>1005</v>
      </c>
      <c r="AA227" s="11">
        <v>1005</v>
      </c>
      <c r="AB227" s="11">
        <v>1005</v>
      </c>
      <c r="AC227" s="11">
        <v>982.08</v>
      </c>
      <c r="AD227" s="12">
        <f>SUM(R227:AC227)</f>
        <v>12037.08</v>
      </c>
      <c r="AE227" s="11">
        <v>982.08</v>
      </c>
      <c r="AF227" s="11">
        <v>982.08</v>
      </c>
      <c r="AG227" s="11">
        <v>982.08</v>
      </c>
      <c r="AH227" s="11">
        <v>982.08</v>
      </c>
      <c r="AI227" s="11">
        <v>982.08</v>
      </c>
      <c r="AJ227" s="11">
        <v>982.08</v>
      </c>
      <c r="AK227" s="11">
        <v>982.08</v>
      </c>
      <c r="AL227" s="11">
        <v>982.08</v>
      </c>
      <c r="AM227" s="11">
        <v>982.08</v>
      </c>
      <c r="AN227" s="11">
        <v>982.08</v>
      </c>
      <c r="AO227" s="11">
        <v>982.08</v>
      </c>
      <c r="AP227" s="12">
        <v>958.33</v>
      </c>
      <c r="AQ227" s="3">
        <f>SUM(AE227:AP227)</f>
        <v>11761.210000000001</v>
      </c>
      <c r="AR227" s="3">
        <v>958.33</v>
      </c>
      <c r="AS227" s="3">
        <v>958.33</v>
      </c>
      <c r="AT227" s="3">
        <v>958.33</v>
      </c>
      <c r="AU227" s="3">
        <v>958.33</v>
      </c>
      <c r="AV227" s="3">
        <v>958.33</v>
      </c>
      <c r="AW227" s="3">
        <v>958.33</v>
      </c>
      <c r="AX227" s="3">
        <v>958.33</v>
      </c>
      <c r="AY227" s="3">
        <v>958.33</v>
      </c>
      <c r="AZ227" s="3">
        <v>958.33</v>
      </c>
      <c r="BA227" s="3">
        <v>958.33</v>
      </c>
      <c r="BB227" s="3">
        <v>958.33</v>
      </c>
      <c r="BC227" s="3">
        <v>933.75</v>
      </c>
      <c r="BD227" s="3">
        <f>SUM(AR227:BC227)</f>
        <v>11475.380000000001</v>
      </c>
    </row>
    <row r="228" spans="1:56" x14ac:dyDescent="0.3">
      <c r="D228" s="8" t="s">
        <v>9</v>
      </c>
      <c r="E228" s="11">
        <v>250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2">
        <f>SUM(E228:P228)</f>
        <v>250</v>
      </c>
      <c r="R228" s="11">
        <v>250</v>
      </c>
      <c r="AD228" s="12">
        <f>SUM(R228:AC228)</f>
        <v>250</v>
      </c>
      <c r="AE228" s="11">
        <v>250</v>
      </c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3">
        <f>SUM(AE228:AP228)</f>
        <v>250</v>
      </c>
      <c r="AR228" s="3">
        <v>250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f>SUM(AR228:BC228)</f>
        <v>250</v>
      </c>
    </row>
    <row r="229" spans="1:56" ht="13.5" thickBot="1" x14ac:dyDescent="0.35">
      <c r="A229" t="s">
        <v>111</v>
      </c>
      <c r="D229" s="8" t="s">
        <v>10</v>
      </c>
      <c r="E229" s="11">
        <f>22083.37+42573.95</f>
        <v>64657.319999999992</v>
      </c>
      <c r="F229" s="11">
        <f>22916.67+41690.63</f>
        <v>64607.299999999996</v>
      </c>
      <c r="G229" s="11">
        <f t="shared" ref="G229:P229" si="215">22916.67+41690.63</f>
        <v>64607.299999999996</v>
      </c>
      <c r="H229" s="11">
        <f t="shared" si="215"/>
        <v>64607.299999999996</v>
      </c>
      <c r="I229" s="11">
        <f t="shared" si="215"/>
        <v>64607.299999999996</v>
      </c>
      <c r="J229" s="11">
        <f t="shared" si="215"/>
        <v>64607.299999999996</v>
      </c>
      <c r="K229" s="11">
        <f>22916.67+41690.6</f>
        <v>64607.27</v>
      </c>
      <c r="L229" s="11">
        <f t="shared" si="215"/>
        <v>64607.299999999996</v>
      </c>
      <c r="M229" s="11">
        <f t="shared" si="215"/>
        <v>64607.299999999996</v>
      </c>
      <c r="N229" s="11">
        <f t="shared" si="215"/>
        <v>64607.299999999996</v>
      </c>
      <c r="O229" s="11">
        <f t="shared" si="215"/>
        <v>64607.299999999996</v>
      </c>
      <c r="P229" s="11">
        <f t="shared" si="215"/>
        <v>64607.299999999996</v>
      </c>
      <c r="Q229" s="12">
        <f>SUM(E229:P229)</f>
        <v>775337.59000000008</v>
      </c>
      <c r="R229" s="11">
        <f>22916.63+41690.6</f>
        <v>64607.229999999996</v>
      </c>
      <c r="S229" s="11">
        <f>23750+40773.96</f>
        <v>64523.96</v>
      </c>
      <c r="T229" s="11">
        <f t="shared" ref="T229:AC229" si="216">23750+40773.96</f>
        <v>64523.96</v>
      </c>
      <c r="U229" s="11">
        <f t="shared" si="216"/>
        <v>64523.96</v>
      </c>
      <c r="V229" s="11">
        <f t="shared" si="216"/>
        <v>64523.96</v>
      </c>
      <c r="W229" s="11">
        <f t="shared" si="216"/>
        <v>64523.96</v>
      </c>
      <c r="X229" s="11">
        <f>23750+40773.95</f>
        <v>64523.95</v>
      </c>
      <c r="Y229" s="11">
        <f t="shared" si="216"/>
        <v>64523.96</v>
      </c>
      <c r="Z229" s="11">
        <f t="shared" si="216"/>
        <v>64523.96</v>
      </c>
      <c r="AA229" s="11">
        <f t="shared" si="216"/>
        <v>64523.96</v>
      </c>
      <c r="AB229" s="11">
        <f t="shared" si="216"/>
        <v>64523.96</v>
      </c>
      <c r="AC229" s="11">
        <f t="shared" si="216"/>
        <v>64523.96</v>
      </c>
      <c r="AD229" s="12">
        <f>SUM(R229:AC229)</f>
        <v>774370.77999999991</v>
      </c>
      <c r="AE229" s="11">
        <f>23750+40773.95</f>
        <v>64523.95</v>
      </c>
      <c r="AF229" s="12">
        <f>24583.33+39823.96</f>
        <v>64407.29</v>
      </c>
      <c r="AG229" s="12">
        <f t="shared" ref="AG229:AP229" si="217">24583.33+39823.96</f>
        <v>64407.29</v>
      </c>
      <c r="AH229" s="12">
        <f t="shared" si="217"/>
        <v>64407.29</v>
      </c>
      <c r="AI229" s="12">
        <f t="shared" si="217"/>
        <v>64407.29</v>
      </c>
      <c r="AJ229" s="12">
        <f t="shared" si="217"/>
        <v>64407.29</v>
      </c>
      <c r="AK229" s="12">
        <f>24583.33+39823.95</f>
        <v>64407.28</v>
      </c>
      <c r="AL229" s="12">
        <f t="shared" si="217"/>
        <v>64407.29</v>
      </c>
      <c r="AM229" s="12">
        <f t="shared" si="217"/>
        <v>64407.29</v>
      </c>
      <c r="AN229" s="12">
        <f t="shared" si="217"/>
        <v>64407.29</v>
      </c>
      <c r="AO229" s="12">
        <f t="shared" si="217"/>
        <v>64407.29</v>
      </c>
      <c r="AP229" s="12">
        <f t="shared" si="217"/>
        <v>64407.29</v>
      </c>
      <c r="AQ229" s="3">
        <f>SUM(AE229:AP229)</f>
        <v>773004.13</v>
      </c>
      <c r="AR229" s="3">
        <f>24583.37+39823.95</f>
        <v>64407.319999999992</v>
      </c>
      <c r="AS229" s="3">
        <f>25833.33+38840.63</f>
        <v>64673.96</v>
      </c>
      <c r="AT229" s="3">
        <f>25833.33+38840.63</f>
        <v>64673.96</v>
      </c>
      <c r="AU229" s="3">
        <f>25833.33+38840.63</f>
        <v>64673.96</v>
      </c>
      <c r="AV229" s="3">
        <f>25833.33+38840.63</f>
        <v>64673.96</v>
      </c>
      <c r="AW229" s="3">
        <f>25833.33+38840.63</f>
        <v>64673.96</v>
      </c>
      <c r="AX229" s="3">
        <f>25833.33+38840.6</f>
        <v>64673.93</v>
      </c>
      <c r="AY229" s="3">
        <f>25833.33+38840.63</f>
        <v>64673.96</v>
      </c>
      <c r="AZ229" s="3">
        <f>25833.33+38840.63</f>
        <v>64673.96</v>
      </c>
      <c r="BA229" s="3">
        <f>25833.33+38840.63</f>
        <v>64673.96</v>
      </c>
      <c r="BB229" s="3">
        <f>25833.33+38840.63</f>
        <v>64673.96</v>
      </c>
      <c r="BC229" s="3">
        <f>25833.33+38840.63</f>
        <v>64673.96</v>
      </c>
      <c r="BD229" s="3">
        <f>SUM(AR229:BC229)</f>
        <v>775820.84999999986</v>
      </c>
    </row>
    <row r="230" spans="1:56" ht="13.5" thickBot="1" x14ac:dyDescent="0.35">
      <c r="D230" s="13" t="s">
        <v>112</v>
      </c>
      <c r="E230" s="14">
        <f t="shared" ref="E230:P230" si="218">SUM(E227:E229)</f>
        <v>65934.399999999994</v>
      </c>
      <c r="F230" s="14">
        <f t="shared" si="218"/>
        <v>65634.37999999999</v>
      </c>
      <c r="G230" s="14">
        <f t="shared" si="218"/>
        <v>65634.37999999999</v>
      </c>
      <c r="H230" s="14">
        <f t="shared" si="218"/>
        <v>65634.37999999999</v>
      </c>
      <c r="I230" s="14">
        <f t="shared" si="218"/>
        <v>65634.37999999999</v>
      </c>
      <c r="J230" s="14">
        <f t="shared" si="218"/>
        <v>65634.37999999999</v>
      </c>
      <c r="K230" s="14">
        <f t="shared" si="218"/>
        <v>65634.349999999991</v>
      </c>
      <c r="L230" s="14">
        <f t="shared" si="218"/>
        <v>65634.37999999999</v>
      </c>
      <c r="M230" s="14">
        <f t="shared" si="218"/>
        <v>65634.37999999999</v>
      </c>
      <c r="N230" s="14">
        <f t="shared" si="218"/>
        <v>65634.37999999999</v>
      </c>
      <c r="O230" s="14">
        <f t="shared" si="218"/>
        <v>65634.37999999999</v>
      </c>
      <c r="P230" s="14">
        <f t="shared" si="218"/>
        <v>65612.299999999988</v>
      </c>
      <c r="Q230" s="14">
        <f>SUM(Q227:Q229)</f>
        <v>787890.47000000009</v>
      </c>
      <c r="R230" s="14">
        <f t="shared" ref="R230:AC230" si="219">SUM(R227:R229)</f>
        <v>65862.23</v>
      </c>
      <c r="S230" s="14">
        <f t="shared" si="219"/>
        <v>65528.959999999999</v>
      </c>
      <c r="T230" s="14">
        <f t="shared" si="219"/>
        <v>65528.959999999999</v>
      </c>
      <c r="U230" s="14">
        <f t="shared" si="219"/>
        <v>65528.959999999999</v>
      </c>
      <c r="V230" s="14">
        <f t="shared" si="219"/>
        <v>65528.959999999999</v>
      </c>
      <c r="W230" s="14">
        <f t="shared" si="219"/>
        <v>65528.959999999999</v>
      </c>
      <c r="X230" s="14">
        <f t="shared" si="219"/>
        <v>65528.95</v>
      </c>
      <c r="Y230" s="14">
        <f t="shared" si="219"/>
        <v>65528.959999999999</v>
      </c>
      <c r="Z230" s="14">
        <f t="shared" si="219"/>
        <v>65528.959999999999</v>
      </c>
      <c r="AA230" s="14">
        <f t="shared" si="219"/>
        <v>65528.959999999999</v>
      </c>
      <c r="AB230" s="14">
        <f t="shared" si="219"/>
        <v>65528.959999999999</v>
      </c>
      <c r="AC230" s="14">
        <f t="shared" si="219"/>
        <v>65506.04</v>
      </c>
      <c r="AD230" s="14">
        <f>SUM(AD227:AD229)</f>
        <v>786657.85999999987</v>
      </c>
      <c r="AE230" s="14">
        <f>SUM(AE227:AE229)</f>
        <v>65756.03</v>
      </c>
      <c r="AF230" s="14">
        <f>SUM(AF227:AF229)</f>
        <v>65389.37</v>
      </c>
      <c r="AG230" s="14">
        <f t="shared" ref="AG230:AP230" si="220">SUM(AG227:AG229)</f>
        <v>65389.37</v>
      </c>
      <c r="AH230" s="14">
        <f t="shared" si="220"/>
        <v>65389.37</v>
      </c>
      <c r="AI230" s="14">
        <f t="shared" si="220"/>
        <v>65389.37</v>
      </c>
      <c r="AJ230" s="14">
        <f t="shared" si="220"/>
        <v>65389.37</v>
      </c>
      <c r="AK230" s="14">
        <f t="shared" si="220"/>
        <v>65389.36</v>
      </c>
      <c r="AL230" s="14">
        <f t="shared" si="220"/>
        <v>65389.37</v>
      </c>
      <c r="AM230" s="14">
        <f t="shared" si="220"/>
        <v>65389.37</v>
      </c>
      <c r="AN230" s="14">
        <f t="shared" si="220"/>
        <v>65389.37</v>
      </c>
      <c r="AO230" s="14">
        <f t="shared" si="220"/>
        <v>65389.37</v>
      </c>
      <c r="AP230" s="14">
        <f t="shared" si="220"/>
        <v>65365.62</v>
      </c>
      <c r="AQ230" s="22">
        <f>SUM(AQ227:AQ229)</f>
        <v>785015.34</v>
      </c>
      <c r="AR230" s="22">
        <f t="shared" ref="AR230:BD230" si="221">SUM(AR227:AR229)</f>
        <v>65615.649999999994</v>
      </c>
      <c r="AS230" s="22">
        <f t="shared" si="221"/>
        <v>65632.289999999994</v>
      </c>
      <c r="AT230" s="22">
        <f t="shared" si="221"/>
        <v>65632.289999999994</v>
      </c>
      <c r="AU230" s="22">
        <f t="shared" si="221"/>
        <v>65632.289999999994</v>
      </c>
      <c r="AV230" s="22">
        <f t="shared" si="221"/>
        <v>65632.289999999994</v>
      </c>
      <c r="AW230" s="22">
        <f t="shared" si="221"/>
        <v>65632.289999999994</v>
      </c>
      <c r="AX230" s="22">
        <f t="shared" si="221"/>
        <v>65632.259999999995</v>
      </c>
      <c r="AY230" s="22">
        <f t="shared" si="221"/>
        <v>65632.289999999994</v>
      </c>
      <c r="AZ230" s="22">
        <f t="shared" si="221"/>
        <v>65632.289999999994</v>
      </c>
      <c r="BA230" s="22">
        <f t="shared" si="221"/>
        <v>65632.289999999994</v>
      </c>
      <c r="BB230" s="22">
        <f t="shared" si="221"/>
        <v>65632.289999999994</v>
      </c>
      <c r="BC230" s="22">
        <f t="shared" si="221"/>
        <v>65607.709999999992</v>
      </c>
      <c r="BD230" s="22">
        <f t="shared" si="221"/>
        <v>787546.22999999986</v>
      </c>
    </row>
    <row r="231" spans="1:56" x14ac:dyDescent="0.3">
      <c r="D231" s="15"/>
    </row>
    <row r="232" spans="1:56" ht="15.5" x14ac:dyDescent="0.35">
      <c r="B232" s="1">
        <f>B226+1</f>
        <v>30</v>
      </c>
      <c r="C232" s="24" t="s">
        <v>14</v>
      </c>
      <c r="D232" s="25" t="s">
        <v>113</v>
      </c>
    </row>
    <row r="233" spans="1:56" x14ac:dyDescent="0.3">
      <c r="D233" s="8" t="s">
        <v>8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f>SUM(E233:P233)</f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f>SUM(R233:AC233)</f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3">
        <f>SUM(AE233:AP233)</f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f>SUM(AR233:BC233)</f>
        <v>0</v>
      </c>
    </row>
    <row r="234" spans="1:56" x14ac:dyDescent="0.3">
      <c r="D234" s="8" t="s">
        <v>9</v>
      </c>
      <c r="E234" s="11">
        <v>250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2">
        <f>SUM(E234:P234)</f>
        <v>250</v>
      </c>
      <c r="R234" s="11">
        <v>250</v>
      </c>
      <c r="AD234" s="12">
        <f>SUM(R234:AC234)</f>
        <v>250</v>
      </c>
      <c r="AE234" s="11">
        <v>250</v>
      </c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3">
        <f>SUM(AE234:AP234)</f>
        <v>250</v>
      </c>
      <c r="AR234" s="3">
        <v>250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f>SUM(AR234:BC234)</f>
        <v>250</v>
      </c>
    </row>
    <row r="235" spans="1:56" ht="13.5" thickBot="1" x14ac:dyDescent="0.35">
      <c r="A235" t="s">
        <v>114</v>
      </c>
      <c r="D235" s="8" t="s">
        <v>10</v>
      </c>
      <c r="E235" s="11">
        <v>43479.99</v>
      </c>
      <c r="F235" s="11">
        <v>43479.99</v>
      </c>
      <c r="G235" s="11">
        <v>43479.99</v>
      </c>
      <c r="H235" s="11">
        <v>43479.99</v>
      </c>
      <c r="I235" s="11">
        <v>43479.99</v>
      </c>
      <c r="J235" s="11">
        <v>43479.99</v>
      </c>
      <c r="K235" s="11">
        <v>43479.99</v>
      </c>
      <c r="L235" s="11">
        <v>43479.99</v>
      </c>
      <c r="M235" s="11">
        <v>43479.99</v>
      </c>
      <c r="N235" s="11">
        <v>43479.99</v>
      </c>
      <c r="O235" s="11">
        <v>43479.99</v>
      </c>
      <c r="P235" s="11">
        <v>43479.99</v>
      </c>
      <c r="Q235" s="12">
        <f>SUM(E235:P235)</f>
        <v>521759.87999999995</v>
      </c>
      <c r="R235" s="11">
        <v>43479.99</v>
      </c>
      <c r="S235" s="11">
        <v>43479.99</v>
      </c>
      <c r="T235" s="11">
        <v>43479.99</v>
      </c>
      <c r="U235" s="11">
        <v>43479.99</v>
      </c>
      <c r="V235" s="11">
        <v>43479.99</v>
      </c>
      <c r="W235" s="11">
        <v>43479.99</v>
      </c>
      <c r="X235" s="11">
        <v>43479.99</v>
      </c>
      <c r="Y235" s="11">
        <v>43479.99</v>
      </c>
      <c r="Z235" s="11">
        <v>43479.99</v>
      </c>
      <c r="AA235" s="11">
        <v>43479.99</v>
      </c>
      <c r="AB235" s="11">
        <v>43479.99</v>
      </c>
      <c r="AC235" s="11">
        <v>43479.99</v>
      </c>
      <c r="AD235" s="12">
        <f>SUM(R235:AC235)</f>
        <v>521759.87999999995</v>
      </c>
      <c r="AE235" s="11">
        <v>43479.99</v>
      </c>
      <c r="AF235" s="11">
        <v>43479.99</v>
      </c>
      <c r="AG235" s="11">
        <v>43479.99</v>
      </c>
      <c r="AH235" s="11">
        <v>43479.99</v>
      </c>
      <c r="AI235" s="11">
        <v>43479.99</v>
      </c>
      <c r="AJ235" s="11">
        <v>43479.99</v>
      </c>
      <c r="AK235" s="11">
        <v>43479.99</v>
      </c>
      <c r="AL235" s="11">
        <v>43479.99</v>
      </c>
      <c r="AM235" s="11">
        <v>43479.99</v>
      </c>
      <c r="AN235" s="11">
        <v>43479.99</v>
      </c>
      <c r="AO235" s="11">
        <v>43479.99</v>
      </c>
      <c r="AP235" s="11">
        <v>43479.99</v>
      </c>
      <c r="AQ235" s="3">
        <f>SUM(AE235:AP235)</f>
        <v>521759.87999999995</v>
      </c>
      <c r="AR235" s="3">
        <f>19602.98+23877.01</f>
        <v>43479.99</v>
      </c>
      <c r="AS235" s="3">
        <f>19662.07+23817.92</f>
        <v>43479.99</v>
      </c>
      <c r="AT235" s="3">
        <f>20487.73+22992.26</f>
        <v>43479.99</v>
      </c>
      <c r="AU235" s="3">
        <f>19783.07+23696.92</f>
        <v>43479.99</v>
      </c>
      <c r="AV235" s="3">
        <f>20605.19+22874.8</f>
        <v>43479.99</v>
      </c>
      <c r="AW235" s="3">
        <f>19904.8+23575.19</f>
        <v>43479.99</v>
      </c>
      <c r="AX235" s="3">
        <f>19964.79+23515.2</f>
        <v>43479.990000000005</v>
      </c>
      <c r="AY235" s="3">
        <f>22294.8+21185.19</f>
        <v>43479.99</v>
      </c>
      <c r="AZ235" s="3">
        <f>20092.15+23387.84</f>
        <v>43479.990000000005</v>
      </c>
      <c r="BA235" s="3">
        <f>20905.2+22574.79</f>
        <v>43479.990000000005</v>
      </c>
      <c r="BB235" s="3">
        <f>20215.72+23264.27</f>
        <v>43479.990000000005</v>
      </c>
      <c r="BC235" s="3">
        <f>21025.14+22454.85</f>
        <v>43479.99</v>
      </c>
      <c r="BD235" s="3">
        <f>SUM(AR235:BC235)</f>
        <v>521759.87999999995</v>
      </c>
    </row>
    <row r="236" spans="1:56" ht="13.5" thickBot="1" x14ac:dyDescent="0.35">
      <c r="D236" s="13" t="s">
        <v>115</v>
      </c>
      <c r="E236" s="14">
        <f t="shared" ref="E236:P236" si="222">SUM(E233:E235)</f>
        <v>43729.99</v>
      </c>
      <c r="F236" s="14">
        <f t="shared" si="222"/>
        <v>43479.99</v>
      </c>
      <c r="G236" s="14">
        <f t="shared" si="222"/>
        <v>43479.99</v>
      </c>
      <c r="H236" s="14">
        <f t="shared" si="222"/>
        <v>43479.99</v>
      </c>
      <c r="I236" s="14">
        <f t="shared" si="222"/>
        <v>43479.99</v>
      </c>
      <c r="J236" s="14">
        <f t="shared" si="222"/>
        <v>43479.99</v>
      </c>
      <c r="K236" s="14">
        <f t="shared" si="222"/>
        <v>43479.99</v>
      </c>
      <c r="L236" s="14">
        <f t="shared" si="222"/>
        <v>43479.99</v>
      </c>
      <c r="M236" s="14">
        <f t="shared" si="222"/>
        <v>43479.99</v>
      </c>
      <c r="N236" s="14">
        <f t="shared" si="222"/>
        <v>43479.99</v>
      </c>
      <c r="O236" s="14">
        <f t="shared" si="222"/>
        <v>43479.99</v>
      </c>
      <c r="P236" s="14">
        <f t="shared" si="222"/>
        <v>43479.99</v>
      </c>
      <c r="Q236" s="14">
        <f>SUM(Q233:Q235)</f>
        <v>522009.87999999995</v>
      </c>
      <c r="R236" s="14">
        <f t="shared" ref="R236:AC236" si="223">SUM(R233:R235)</f>
        <v>43729.99</v>
      </c>
      <c r="S236" s="14">
        <f t="shared" si="223"/>
        <v>43479.99</v>
      </c>
      <c r="T236" s="14">
        <f t="shared" si="223"/>
        <v>43479.99</v>
      </c>
      <c r="U236" s="14">
        <f t="shared" si="223"/>
        <v>43479.99</v>
      </c>
      <c r="V236" s="14">
        <f t="shared" si="223"/>
        <v>43479.99</v>
      </c>
      <c r="W236" s="14">
        <f t="shared" si="223"/>
        <v>43479.99</v>
      </c>
      <c r="X236" s="14">
        <f t="shared" si="223"/>
        <v>43479.99</v>
      </c>
      <c r="Y236" s="14">
        <f t="shared" si="223"/>
        <v>43479.99</v>
      </c>
      <c r="Z236" s="14">
        <f t="shared" si="223"/>
        <v>43479.99</v>
      </c>
      <c r="AA236" s="14">
        <f t="shared" si="223"/>
        <v>43479.99</v>
      </c>
      <c r="AB236" s="14">
        <f t="shared" si="223"/>
        <v>43479.99</v>
      </c>
      <c r="AC236" s="14">
        <f t="shared" si="223"/>
        <v>43479.99</v>
      </c>
      <c r="AD236" s="14">
        <f>SUM(AD233:AD235)</f>
        <v>522009.87999999995</v>
      </c>
      <c r="AE236" s="14">
        <f>SUM(AE233:AE235)</f>
        <v>43729.99</v>
      </c>
      <c r="AF236" s="14">
        <f>SUM(AF233:AF235)</f>
        <v>43479.99</v>
      </c>
      <c r="AG236" s="14">
        <f t="shared" ref="AG236:AP236" si="224">SUM(AG233:AG235)</f>
        <v>43479.99</v>
      </c>
      <c r="AH236" s="14">
        <f t="shared" si="224"/>
        <v>43479.99</v>
      </c>
      <c r="AI236" s="14">
        <f t="shared" si="224"/>
        <v>43479.99</v>
      </c>
      <c r="AJ236" s="14">
        <f t="shared" si="224"/>
        <v>43479.99</v>
      </c>
      <c r="AK236" s="14">
        <f t="shared" si="224"/>
        <v>43479.99</v>
      </c>
      <c r="AL236" s="14">
        <f t="shared" si="224"/>
        <v>43479.99</v>
      </c>
      <c r="AM236" s="14">
        <f t="shared" si="224"/>
        <v>43479.99</v>
      </c>
      <c r="AN236" s="14">
        <f t="shared" si="224"/>
        <v>43479.99</v>
      </c>
      <c r="AO236" s="14">
        <f t="shared" si="224"/>
        <v>43479.99</v>
      </c>
      <c r="AP236" s="14">
        <f t="shared" si="224"/>
        <v>43479.99</v>
      </c>
      <c r="AQ236" s="22">
        <f>SUM(AQ233:AQ235)</f>
        <v>522009.87999999995</v>
      </c>
      <c r="AR236" s="22">
        <f t="shared" ref="AR236:BD236" si="225">SUM(AR233:AR235)</f>
        <v>43729.99</v>
      </c>
      <c r="AS236" s="22">
        <f t="shared" si="225"/>
        <v>43479.99</v>
      </c>
      <c r="AT236" s="22">
        <f t="shared" si="225"/>
        <v>43479.99</v>
      </c>
      <c r="AU236" s="22">
        <f t="shared" si="225"/>
        <v>43479.99</v>
      </c>
      <c r="AV236" s="22">
        <f t="shared" si="225"/>
        <v>43479.99</v>
      </c>
      <c r="AW236" s="22">
        <f t="shared" si="225"/>
        <v>43479.99</v>
      </c>
      <c r="AX236" s="22">
        <f t="shared" si="225"/>
        <v>43479.990000000005</v>
      </c>
      <c r="AY236" s="22">
        <f t="shared" si="225"/>
        <v>43479.99</v>
      </c>
      <c r="AZ236" s="22">
        <f t="shared" si="225"/>
        <v>43479.990000000005</v>
      </c>
      <c r="BA236" s="22">
        <f t="shared" si="225"/>
        <v>43479.990000000005</v>
      </c>
      <c r="BB236" s="22">
        <f t="shared" si="225"/>
        <v>43479.990000000005</v>
      </c>
      <c r="BC236" s="22">
        <f t="shared" si="225"/>
        <v>43479.99</v>
      </c>
      <c r="BD236" s="22">
        <f t="shared" si="225"/>
        <v>522009.87999999995</v>
      </c>
    </row>
    <row r="237" spans="1:56" x14ac:dyDescent="0.3">
      <c r="D237" s="15"/>
    </row>
    <row r="238" spans="1:56" ht="15.5" x14ac:dyDescent="0.35">
      <c r="C238" s="30" t="s">
        <v>6</v>
      </c>
      <c r="D238" s="10" t="s">
        <v>116</v>
      </c>
    </row>
    <row r="239" spans="1:56" x14ac:dyDescent="0.3">
      <c r="D239" s="8" t="s">
        <v>8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/>
      <c r="L239" s="12"/>
      <c r="M239" s="12"/>
      <c r="N239" s="12"/>
      <c r="O239" s="12"/>
      <c r="P239" s="12"/>
      <c r="Q239" s="12">
        <f>SUM(E239:P239)</f>
        <v>0</v>
      </c>
    </row>
    <row r="240" spans="1:56" x14ac:dyDescent="0.3">
      <c r="D240" s="8" t="s">
        <v>9</v>
      </c>
      <c r="E240" s="11">
        <v>250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2">
        <f>SUM(E240:P240)</f>
        <v>250</v>
      </c>
    </row>
    <row r="241" spans="1:56" ht="13.5" thickBot="1" x14ac:dyDescent="0.35">
      <c r="A241" t="s">
        <v>117</v>
      </c>
      <c r="D241" s="8" t="s">
        <v>10</v>
      </c>
      <c r="E241" s="11">
        <v>39589.17</v>
      </c>
      <c r="F241" s="11">
        <v>39589.17</v>
      </c>
      <c r="G241" s="11">
        <v>39589.17</v>
      </c>
      <c r="H241" s="11">
        <v>39589.17</v>
      </c>
      <c r="I241" s="11">
        <v>39589.15</v>
      </c>
      <c r="J241" s="11">
        <v>39455.71</v>
      </c>
      <c r="K241" s="11"/>
      <c r="L241" s="11"/>
      <c r="M241" s="11"/>
      <c r="N241" s="11"/>
      <c r="O241" s="11"/>
      <c r="P241" s="11"/>
      <c r="Q241" s="12">
        <f>SUM(E241:P241)</f>
        <v>237401.53999999998</v>
      </c>
    </row>
    <row r="242" spans="1:56" ht="13.5" thickBot="1" x14ac:dyDescent="0.35">
      <c r="D242" s="13" t="s">
        <v>26</v>
      </c>
      <c r="E242" s="14">
        <f t="shared" ref="E242:P242" si="226">SUM(E239:E241)</f>
        <v>39839.17</v>
      </c>
      <c r="F242" s="14">
        <f t="shared" si="226"/>
        <v>39589.17</v>
      </c>
      <c r="G242" s="14">
        <f t="shared" si="226"/>
        <v>39589.17</v>
      </c>
      <c r="H242" s="14">
        <f t="shared" si="226"/>
        <v>39589.17</v>
      </c>
      <c r="I242" s="14">
        <f t="shared" si="226"/>
        <v>39589.15</v>
      </c>
      <c r="J242" s="14">
        <f t="shared" si="226"/>
        <v>39455.71</v>
      </c>
      <c r="K242" s="14">
        <f t="shared" si="226"/>
        <v>0</v>
      </c>
      <c r="L242" s="14">
        <f t="shared" si="226"/>
        <v>0</v>
      </c>
      <c r="M242" s="14">
        <f t="shared" si="226"/>
        <v>0</v>
      </c>
      <c r="N242" s="14">
        <f t="shared" si="226"/>
        <v>0</v>
      </c>
      <c r="O242" s="14">
        <f t="shared" si="226"/>
        <v>0</v>
      </c>
      <c r="P242" s="14">
        <f t="shared" si="226"/>
        <v>0</v>
      </c>
      <c r="Q242" s="14">
        <f>SUM(Q239:Q241)</f>
        <v>237651.53999999998</v>
      </c>
    </row>
    <row r="243" spans="1:56" x14ac:dyDescent="0.3">
      <c r="D243" s="15"/>
    </row>
    <row r="244" spans="1:56" ht="15.5" x14ac:dyDescent="0.35">
      <c r="B244" s="1">
        <f>B232+1</f>
        <v>31</v>
      </c>
      <c r="C244" s="24" t="s">
        <v>14</v>
      </c>
      <c r="D244" s="25" t="s">
        <v>118</v>
      </c>
    </row>
    <row r="245" spans="1:56" x14ac:dyDescent="0.3">
      <c r="D245" s="8" t="s">
        <v>8</v>
      </c>
      <c r="E245" s="11">
        <v>1657.92</v>
      </c>
      <c r="F245" s="11">
        <v>1657.92</v>
      </c>
      <c r="G245" s="11">
        <v>1657.92</v>
      </c>
      <c r="H245" s="11">
        <v>1657.92</v>
      </c>
      <c r="I245" s="11">
        <v>1657.92</v>
      </c>
      <c r="J245" s="11">
        <v>1657.92</v>
      </c>
      <c r="K245" s="11">
        <v>1657.92</v>
      </c>
      <c r="L245" s="11">
        <v>1657.92</v>
      </c>
      <c r="M245" s="11">
        <v>1657.92</v>
      </c>
      <c r="N245" s="11">
        <v>1657.92</v>
      </c>
      <c r="O245" s="11">
        <v>1657.92</v>
      </c>
      <c r="P245" s="11">
        <v>1657.92</v>
      </c>
      <c r="Q245" s="12">
        <f>SUM(E245:P245)</f>
        <v>19895.04</v>
      </c>
      <c r="R245" s="11">
        <v>1620.42</v>
      </c>
      <c r="S245" s="11">
        <v>1620.42</v>
      </c>
      <c r="T245" s="11">
        <v>1620.42</v>
      </c>
      <c r="U245" s="11">
        <v>1620.42</v>
      </c>
      <c r="V245" s="11">
        <v>1620.42</v>
      </c>
      <c r="W245" s="11">
        <v>1620.42</v>
      </c>
      <c r="X245" s="11">
        <v>1620.42</v>
      </c>
      <c r="Y245" s="11">
        <v>1620.42</v>
      </c>
      <c r="Z245" s="11">
        <v>1620.42</v>
      </c>
      <c r="AA245" s="11">
        <v>1620.42</v>
      </c>
      <c r="AB245" s="11">
        <v>1620.42</v>
      </c>
      <c r="AC245" s="11">
        <v>1620.42</v>
      </c>
      <c r="AD245" s="12">
        <f>SUM(R245:AC245)</f>
        <v>19445.04</v>
      </c>
      <c r="AE245" s="12">
        <v>1581.25</v>
      </c>
      <c r="AF245" s="12">
        <v>1581.25</v>
      </c>
      <c r="AG245" s="12">
        <v>1581.25</v>
      </c>
      <c r="AH245" s="12">
        <v>1581.25</v>
      </c>
      <c r="AI245" s="12">
        <v>1581.25</v>
      </c>
      <c r="AJ245" s="12">
        <v>1581.25</v>
      </c>
      <c r="AK245" s="12">
        <v>1581.25</v>
      </c>
      <c r="AL245" s="12">
        <v>1581.25</v>
      </c>
      <c r="AM245" s="12">
        <v>1581.25</v>
      </c>
      <c r="AN245" s="12">
        <v>1581.25</v>
      </c>
      <c r="AO245" s="12">
        <v>1581.25</v>
      </c>
      <c r="AP245" s="12">
        <v>1581.25</v>
      </c>
      <c r="AQ245" s="3">
        <f>SUM(AE245:AP245)</f>
        <v>18975</v>
      </c>
      <c r="AR245" s="3">
        <v>1540.83</v>
      </c>
      <c r="AS245" s="3">
        <v>1540.83</v>
      </c>
      <c r="AT245" s="3">
        <v>1540.83</v>
      </c>
      <c r="AU245" s="3">
        <v>1540.83</v>
      </c>
      <c r="AV245" s="3">
        <v>1540.83</v>
      </c>
      <c r="AW245" s="3">
        <v>1540.83</v>
      </c>
      <c r="AX245" s="3">
        <v>1540.83</v>
      </c>
      <c r="AY245" s="3">
        <v>1540.83</v>
      </c>
      <c r="AZ245" s="3">
        <v>1540.83</v>
      </c>
      <c r="BA245" s="3">
        <v>1540.83</v>
      </c>
      <c r="BB245" s="3">
        <v>1540.83</v>
      </c>
      <c r="BC245" s="3">
        <v>1540.83</v>
      </c>
      <c r="BD245" s="3">
        <f>SUM(AR245:BC245)</f>
        <v>18489.96</v>
      </c>
    </row>
    <row r="246" spans="1:56" x14ac:dyDescent="0.3">
      <c r="D246" s="8" t="s">
        <v>9</v>
      </c>
      <c r="E246" s="11">
        <v>250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2">
        <f>SUM(E246:P246)</f>
        <v>250</v>
      </c>
      <c r="R246" s="11">
        <v>250</v>
      </c>
      <c r="AD246" s="12">
        <f>SUM(R246:AC246)</f>
        <v>250</v>
      </c>
      <c r="AE246" s="11">
        <v>250</v>
      </c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3">
        <f>SUM(AE246:AP246)</f>
        <v>250</v>
      </c>
      <c r="AR246" s="3">
        <v>250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f>SUM(AR246:BC246)</f>
        <v>250</v>
      </c>
    </row>
    <row r="247" spans="1:56" ht="13.5" thickBot="1" x14ac:dyDescent="0.35">
      <c r="A247" t="s">
        <v>119</v>
      </c>
      <c r="D247" s="8" t="s">
        <v>10</v>
      </c>
      <c r="E247" s="11">
        <f t="shared" ref="E247:N247" si="227">37500+65532.29</f>
        <v>103032.29000000001</v>
      </c>
      <c r="F247" s="11">
        <f t="shared" si="227"/>
        <v>103032.29000000001</v>
      </c>
      <c r="G247" s="11">
        <f t="shared" si="227"/>
        <v>103032.29000000001</v>
      </c>
      <c r="H247" s="11">
        <f t="shared" si="227"/>
        <v>103032.29000000001</v>
      </c>
      <c r="I247" s="11">
        <f>37500+65532.3</f>
        <v>103032.3</v>
      </c>
      <c r="J247" s="11">
        <f t="shared" si="227"/>
        <v>103032.29000000001</v>
      </c>
      <c r="K247" s="11">
        <f t="shared" si="227"/>
        <v>103032.29000000001</v>
      </c>
      <c r="L247" s="11">
        <f t="shared" si="227"/>
        <v>103032.29000000001</v>
      </c>
      <c r="M247" s="11">
        <f t="shared" si="227"/>
        <v>103032.29000000001</v>
      </c>
      <c r="N247" s="11">
        <f t="shared" si="227"/>
        <v>103032.29000000001</v>
      </c>
      <c r="O247" s="11">
        <f>37500+65532.3</f>
        <v>103032.3</v>
      </c>
      <c r="P247" s="11">
        <f>39166.67+64032.29</f>
        <v>103198.95999999999</v>
      </c>
      <c r="Q247" s="12">
        <f>SUM(E247:P247)</f>
        <v>1236554.1700000002</v>
      </c>
      <c r="R247" s="11">
        <f t="shared" ref="R247:AA247" si="228">39166.67+64032.29</f>
        <v>103198.95999999999</v>
      </c>
      <c r="S247" s="11">
        <f t="shared" si="228"/>
        <v>103198.95999999999</v>
      </c>
      <c r="T247" s="11">
        <f t="shared" si="228"/>
        <v>103198.95999999999</v>
      </c>
      <c r="U247" s="11">
        <f t="shared" si="228"/>
        <v>103198.95999999999</v>
      </c>
      <c r="V247" s="11">
        <f>39166.67+64032.3</f>
        <v>103198.97</v>
      </c>
      <c r="W247" s="11">
        <f t="shared" si="228"/>
        <v>103198.95999999999</v>
      </c>
      <c r="X247" s="11">
        <f t="shared" si="228"/>
        <v>103198.95999999999</v>
      </c>
      <c r="Y247" s="11">
        <f t="shared" si="228"/>
        <v>103198.95999999999</v>
      </c>
      <c r="Z247" s="11">
        <f t="shared" si="228"/>
        <v>103198.95999999999</v>
      </c>
      <c r="AA247" s="11">
        <f t="shared" si="228"/>
        <v>103198.95999999999</v>
      </c>
      <c r="AB247" s="11">
        <f>39166.63+64032.3</f>
        <v>103198.93</v>
      </c>
      <c r="AC247" s="11">
        <f>40416.67+62465.63</f>
        <v>102882.29999999999</v>
      </c>
      <c r="AD247" s="12">
        <f>SUM(R247:AC247)</f>
        <v>1238070.8399999999</v>
      </c>
      <c r="AE247" s="11">
        <f t="shared" ref="AE247:AN247" si="229">40416.67+62465.63</f>
        <v>102882.29999999999</v>
      </c>
      <c r="AF247" s="11">
        <f t="shared" si="229"/>
        <v>102882.29999999999</v>
      </c>
      <c r="AG247" s="11">
        <f t="shared" si="229"/>
        <v>102882.29999999999</v>
      </c>
      <c r="AH247" s="11">
        <f t="shared" si="229"/>
        <v>102882.29999999999</v>
      </c>
      <c r="AI247" s="11">
        <f>40416.67+62465.6</f>
        <v>102882.26999999999</v>
      </c>
      <c r="AJ247" s="11">
        <f t="shared" si="229"/>
        <v>102882.29999999999</v>
      </c>
      <c r="AK247" s="11">
        <f t="shared" si="229"/>
        <v>102882.29999999999</v>
      </c>
      <c r="AL247" s="11">
        <f t="shared" si="229"/>
        <v>102882.29999999999</v>
      </c>
      <c r="AM247" s="11">
        <f t="shared" si="229"/>
        <v>102882.29999999999</v>
      </c>
      <c r="AN247" s="11">
        <f t="shared" si="229"/>
        <v>102882.29999999999</v>
      </c>
      <c r="AO247" s="11">
        <f>40416.63+62465.6</f>
        <v>102882.23</v>
      </c>
      <c r="AP247" s="12">
        <f>42083.33+60848.96</f>
        <v>102932.29000000001</v>
      </c>
      <c r="AQ247" s="3">
        <f>SUM(AE247:AP247)</f>
        <v>1234637.4900000002</v>
      </c>
      <c r="AR247" s="3">
        <f>42083.33+60848.96</f>
        <v>102932.29000000001</v>
      </c>
      <c r="AS247" s="3">
        <f>42083.33+60848.96</f>
        <v>102932.29000000001</v>
      </c>
      <c r="AT247" s="3">
        <f>42083.33+60848.96</f>
        <v>102932.29000000001</v>
      </c>
      <c r="AU247" s="3">
        <f>42083.33+60848.96</f>
        <v>102932.29000000001</v>
      </c>
      <c r="AV247" s="3">
        <f>42083.33+60848.95</f>
        <v>102932.28</v>
      </c>
      <c r="AW247" s="3">
        <f>42083.33+60848.96</f>
        <v>102932.29000000001</v>
      </c>
      <c r="AX247" s="3">
        <f>42083.33+60848.96</f>
        <v>102932.29000000001</v>
      </c>
      <c r="AY247" s="3">
        <f>42083.33+60848.96</f>
        <v>102932.29000000001</v>
      </c>
      <c r="AZ247" s="3">
        <f>42083.33+60848.96</f>
        <v>102932.29000000001</v>
      </c>
      <c r="BA247" s="3">
        <f>42083.33+60848.96</f>
        <v>102932.29000000001</v>
      </c>
      <c r="BB247" s="3">
        <f>42083.37+60848.95</f>
        <v>102932.32</v>
      </c>
      <c r="BC247" s="3">
        <f>43750+59165.63</f>
        <v>102915.63</v>
      </c>
      <c r="BD247" s="3">
        <f>SUM(AR247:BC247)</f>
        <v>1235170.8400000003</v>
      </c>
    </row>
    <row r="248" spans="1:56" ht="13.5" thickBot="1" x14ac:dyDescent="0.35">
      <c r="D248" s="13" t="s">
        <v>120</v>
      </c>
      <c r="E248" s="14">
        <f t="shared" ref="E248:P248" si="230">SUM(E245:E247)</f>
        <v>104940.21</v>
      </c>
      <c r="F248" s="14">
        <f t="shared" si="230"/>
        <v>104690.21</v>
      </c>
      <c r="G248" s="14">
        <f t="shared" si="230"/>
        <v>104690.21</v>
      </c>
      <c r="H248" s="14">
        <f t="shared" si="230"/>
        <v>104690.21</v>
      </c>
      <c r="I248" s="14">
        <f t="shared" si="230"/>
        <v>104690.22</v>
      </c>
      <c r="J248" s="14">
        <f t="shared" si="230"/>
        <v>104690.21</v>
      </c>
      <c r="K248" s="14">
        <f t="shared" si="230"/>
        <v>104690.21</v>
      </c>
      <c r="L248" s="14">
        <f t="shared" si="230"/>
        <v>104690.21</v>
      </c>
      <c r="M248" s="14">
        <f t="shared" si="230"/>
        <v>104690.21</v>
      </c>
      <c r="N248" s="14">
        <f t="shared" si="230"/>
        <v>104690.21</v>
      </c>
      <c r="O248" s="14">
        <f t="shared" si="230"/>
        <v>104690.22</v>
      </c>
      <c r="P248" s="14">
        <f t="shared" si="230"/>
        <v>104856.87999999999</v>
      </c>
      <c r="Q248" s="14">
        <f>SUM(Q245:Q247)</f>
        <v>1256699.2100000002</v>
      </c>
      <c r="R248" s="14">
        <f t="shared" ref="R248:AC248" si="231">SUM(R245:R247)</f>
        <v>105069.37999999999</v>
      </c>
      <c r="S248" s="14">
        <f t="shared" si="231"/>
        <v>104819.37999999999</v>
      </c>
      <c r="T248" s="14">
        <f t="shared" si="231"/>
        <v>104819.37999999999</v>
      </c>
      <c r="U248" s="14">
        <f t="shared" si="231"/>
        <v>104819.37999999999</v>
      </c>
      <c r="V248" s="14">
        <f t="shared" si="231"/>
        <v>104819.39</v>
      </c>
      <c r="W248" s="14">
        <f t="shared" si="231"/>
        <v>104819.37999999999</v>
      </c>
      <c r="X248" s="14">
        <f t="shared" si="231"/>
        <v>104819.37999999999</v>
      </c>
      <c r="Y248" s="14">
        <f t="shared" si="231"/>
        <v>104819.37999999999</v>
      </c>
      <c r="Z248" s="14">
        <f t="shared" si="231"/>
        <v>104819.37999999999</v>
      </c>
      <c r="AA248" s="14">
        <f t="shared" si="231"/>
        <v>104819.37999999999</v>
      </c>
      <c r="AB248" s="14">
        <f t="shared" si="231"/>
        <v>104819.34999999999</v>
      </c>
      <c r="AC248" s="14">
        <f t="shared" si="231"/>
        <v>104502.71999999999</v>
      </c>
      <c r="AD248" s="14">
        <f>SUM(AD245:AD247)</f>
        <v>1257765.8799999999</v>
      </c>
      <c r="AE248" s="14">
        <f>SUM(AE245:AE247)</f>
        <v>104713.54999999999</v>
      </c>
      <c r="AF248" s="14">
        <f>SUM(AF245:AF247)</f>
        <v>104463.54999999999</v>
      </c>
      <c r="AG248" s="14">
        <f t="shared" ref="AG248:AP248" si="232">SUM(AG245:AG247)</f>
        <v>104463.54999999999</v>
      </c>
      <c r="AH248" s="14">
        <f t="shared" si="232"/>
        <v>104463.54999999999</v>
      </c>
      <c r="AI248" s="14">
        <f t="shared" si="232"/>
        <v>104463.51999999999</v>
      </c>
      <c r="AJ248" s="14">
        <f t="shared" si="232"/>
        <v>104463.54999999999</v>
      </c>
      <c r="AK248" s="14">
        <f t="shared" si="232"/>
        <v>104463.54999999999</v>
      </c>
      <c r="AL248" s="14">
        <f t="shared" si="232"/>
        <v>104463.54999999999</v>
      </c>
      <c r="AM248" s="14">
        <f t="shared" si="232"/>
        <v>104463.54999999999</v>
      </c>
      <c r="AN248" s="14">
        <f t="shared" si="232"/>
        <v>104463.54999999999</v>
      </c>
      <c r="AO248" s="14">
        <f t="shared" si="232"/>
        <v>104463.48</v>
      </c>
      <c r="AP248" s="14">
        <f t="shared" si="232"/>
        <v>104513.54000000001</v>
      </c>
      <c r="AQ248" s="22">
        <f>SUM(AQ245:AQ247)</f>
        <v>1253862.4900000002</v>
      </c>
      <c r="AR248" s="22">
        <f t="shared" ref="AR248:BD248" si="233">SUM(AR245:AR247)</f>
        <v>104723.12000000001</v>
      </c>
      <c r="AS248" s="22">
        <f t="shared" si="233"/>
        <v>104473.12000000001</v>
      </c>
      <c r="AT248" s="22">
        <f t="shared" si="233"/>
        <v>104473.12000000001</v>
      </c>
      <c r="AU248" s="22">
        <f t="shared" si="233"/>
        <v>104473.12000000001</v>
      </c>
      <c r="AV248" s="22">
        <f t="shared" si="233"/>
        <v>104473.11</v>
      </c>
      <c r="AW248" s="22">
        <f t="shared" si="233"/>
        <v>104473.12000000001</v>
      </c>
      <c r="AX248" s="22">
        <f t="shared" si="233"/>
        <v>104473.12000000001</v>
      </c>
      <c r="AY248" s="22">
        <f t="shared" si="233"/>
        <v>104473.12000000001</v>
      </c>
      <c r="AZ248" s="22">
        <f t="shared" si="233"/>
        <v>104473.12000000001</v>
      </c>
      <c r="BA248" s="22">
        <f t="shared" si="233"/>
        <v>104473.12000000001</v>
      </c>
      <c r="BB248" s="22">
        <f t="shared" si="233"/>
        <v>104473.15000000001</v>
      </c>
      <c r="BC248" s="22">
        <f t="shared" si="233"/>
        <v>104456.46</v>
      </c>
      <c r="BD248" s="22">
        <f t="shared" si="233"/>
        <v>1253910.8000000003</v>
      </c>
    </row>
    <row r="249" spans="1:56" x14ac:dyDescent="0.3">
      <c r="D249" s="15"/>
    </row>
    <row r="250" spans="1:56" ht="15.5" x14ac:dyDescent="0.35">
      <c r="B250" s="1">
        <f>B244+1</f>
        <v>32</v>
      </c>
      <c r="C250" s="24" t="s">
        <v>14</v>
      </c>
      <c r="D250" s="25" t="s">
        <v>121</v>
      </c>
    </row>
    <row r="251" spans="1:56" x14ac:dyDescent="0.3">
      <c r="D251" s="8" t="s">
        <v>8</v>
      </c>
      <c r="E251" s="11">
        <v>397.5</v>
      </c>
      <c r="F251" s="11">
        <v>375.83</v>
      </c>
      <c r="G251" s="11">
        <v>375.83</v>
      </c>
      <c r="H251" s="11">
        <v>375.83</v>
      </c>
      <c r="I251" s="11">
        <v>375.83</v>
      </c>
      <c r="J251" s="11">
        <v>375.83</v>
      </c>
      <c r="K251" s="11">
        <v>375.83</v>
      </c>
      <c r="L251" s="11">
        <v>375.83</v>
      </c>
      <c r="M251" s="11">
        <v>375.83</v>
      </c>
      <c r="N251" s="11">
        <v>375.83</v>
      </c>
      <c r="O251" s="11">
        <v>375.83</v>
      </c>
      <c r="P251" s="11">
        <v>375.83</v>
      </c>
      <c r="Q251" s="12">
        <f>SUM(E251:P251)</f>
        <v>4531.6299999999992</v>
      </c>
      <c r="R251" s="11">
        <v>375.83</v>
      </c>
      <c r="S251" s="11">
        <v>353.33</v>
      </c>
      <c r="T251" s="11">
        <v>353.33</v>
      </c>
      <c r="U251" s="11">
        <v>353.33</v>
      </c>
      <c r="V251" s="11">
        <v>353.33</v>
      </c>
      <c r="W251" s="11">
        <v>353.33</v>
      </c>
      <c r="X251" s="11">
        <v>353.33</v>
      </c>
      <c r="Y251" s="11">
        <v>353.33</v>
      </c>
      <c r="Z251" s="11">
        <v>353.33</v>
      </c>
      <c r="AA251" s="11">
        <v>353.33</v>
      </c>
      <c r="AB251" s="11">
        <v>353.33</v>
      </c>
      <c r="AC251" s="11">
        <v>353.33</v>
      </c>
      <c r="AD251" s="12">
        <f>SUM(R251:AC251)</f>
        <v>4262.46</v>
      </c>
      <c r="AE251" s="11">
        <v>353.33</v>
      </c>
      <c r="AF251" s="12">
        <v>330</v>
      </c>
      <c r="AG251" s="12">
        <v>330</v>
      </c>
      <c r="AH251" s="12">
        <v>330</v>
      </c>
      <c r="AI251" s="12">
        <v>330</v>
      </c>
      <c r="AJ251" s="12">
        <v>330</v>
      </c>
      <c r="AK251" s="12">
        <v>330</v>
      </c>
      <c r="AL251" s="12">
        <v>330</v>
      </c>
      <c r="AM251" s="12">
        <v>330</v>
      </c>
      <c r="AN251" s="12">
        <v>330</v>
      </c>
      <c r="AO251" s="12">
        <v>330</v>
      </c>
      <c r="AP251" s="12">
        <v>330</v>
      </c>
      <c r="AQ251" s="3">
        <f>SUM(AE251:AP251)</f>
        <v>3983.33</v>
      </c>
      <c r="AR251" s="3">
        <v>305.83</v>
      </c>
      <c r="AS251" s="3">
        <v>280.83</v>
      </c>
      <c r="AT251" s="3">
        <v>280.83</v>
      </c>
      <c r="AU251" s="3">
        <v>280.83</v>
      </c>
      <c r="AV251" s="3">
        <v>280.83</v>
      </c>
      <c r="AW251" s="3">
        <v>280.83</v>
      </c>
      <c r="AX251" s="3">
        <v>280.83</v>
      </c>
      <c r="AY251" s="3">
        <v>280.83</v>
      </c>
      <c r="AZ251" s="3">
        <v>280.83</v>
      </c>
      <c r="BA251" s="114">
        <f>305.83+224.17</f>
        <v>530</v>
      </c>
      <c r="BB251" s="113">
        <v>305.83</v>
      </c>
      <c r="BC251" s="113">
        <v>305.83</v>
      </c>
      <c r="BD251" s="3">
        <f>SUM(AR251:BC251)</f>
        <v>3694.1299999999997</v>
      </c>
    </row>
    <row r="252" spans="1:56" x14ac:dyDescent="0.3">
      <c r="D252" s="8" t="s">
        <v>9</v>
      </c>
      <c r="E252" s="11">
        <v>250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2">
        <f>SUM(E252:P252)</f>
        <v>250</v>
      </c>
      <c r="R252" s="11">
        <v>250</v>
      </c>
      <c r="AD252" s="12">
        <f>SUM(R252:AC252)</f>
        <v>250</v>
      </c>
      <c r="AE252" s="11">
        <v>250</v>
      </c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3">
        <f>SUM(AE252:AP252)</f>
        <v>250</v>
      </c>
      <c r="AR252" s="3">
        <v>250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114">
        <v>0</v>
      </c>
      <c r="BB252" s="113">
        <v>0</v>
      </c>
      <c r="BC252" s="113">
        <v>0</v>
      </c>
      <c r="BD252" s="3">
        <f>SUM(AR252:BC252)</f>
        <v>250</v>
      </c>
    </row>
    <row r="253" spans="1:56" ht="13.5" thickBot="1" x14ac:dyDescent="0.35">
      <c r="A253" t="s">
        <v>122</v>
      </c>
      <c r="D253" s="8" t="s">
        <v>10</v>
      </c>
      <c r="E253" s="11">
        <f>22500+13875</f>
        <v>36375</v>
      </c>
      <c r="F253" s="11">
        <f>22500+13875</f>
        <v>36375</v>
      </c>
      <c r="G253" s="11">
        <f>22500+13875</f>
        <v>36375</v>
      </c>
      <c r="H253" s="11">
        <f>22500+13875</f>
        <v>36375</v>
      </c>
      <c r="I253" s="11">
        <f>22500+13875</f>
        <v>36375</v>
      </c>
      <c r="J253" s="11">
        <f>23333.33+12975</f>
        <v>36308.33</v>
      </c>
      <c r="K253" s="11">
        <f t="shared" ref="K253:U253" si="234">23333.33+12975</f>
        <v>36308.33</v>
      </c>
      <c r="L253" s="11">
        <f t="shared" si="234"/>
        <v>36308.33</v>
      </c>
      <c r="M253" s="11">
        <f t="shared" si="234"/>
        <v>36308.33</v>
      </c>
      <c r="N253" s="11">
        <f t="shared" si="234"/>
        <v>36308.33</v>
      </c>
      <c r="O253" s="11">
        <f t="shared" si="234"/>
        <v>36308.33</v>
      </c>
      <c r="P253" s="11">
        <f t="shared" si="234"/>
        <v>36308.33</v>
      </c>
      <c r="Q253" s="12">
        <f>SUM(E253:P253)</f>
        <v>436033.31000000011</v>
      </c>
      <c r="R253" s="11">
        <f t="shared" si="234"/>
        <v>36308.33</v>
      </c>
      <c r="S253" s="11">
        <f t="shared" si="234"/>
        <v>36308.33</v>
      </c>
      <c r="T253" s="11">
        <f t="shared" si="234"/>
        <v>36308.33</v>
      </c>
      <c r="U253" s="11">
        <f t="shared" si="234"/>
        <v>36308.33</v>
      </c>
      <c r="V253" s="11">
        <f>23333.37+12975</f>
        <v>36308.369999999995</v>
      </c>
      <c r="W253" s="11">
        <f>24166.67+12041.67</f>
        <v>36208.339999999997</v>
      </c>
      <c r="X253" s="11">
        <f t="shared" ref="X253:AH253" si="235">24166.67+12041.67</f>
        <v>36208.339999999997</v>
      </c>
      <c r="Y253" s="11">
        <f t="shared" si="235"/>
        <v>36208.339999999997</v>
      </c>
      <c r="Z253" s="11">
        <f t="shared" si="235"/>
        <v>36208.339999999997</v>
      </c>
      <c r="AA253" s="11">
        <f t="shared" si="235"/>
        <v>36208.339999999997</v>
      </c>
      <c r="AB253" s="11">
        <f>24166.67+12041.65</f>
        <v>36208.32</v>
      </c>
      <c r="AC253" s="11">
        <f t="shared" si="235"/>
        <v>36208.339999999997</v>
      </c>
      <c r="AD253" s="12">
        <f>SUM(R253:AC253)</f>
        <v>435000.04999999993</v>
      </c>
      <c r="AE253" s="11">
        <f t="shared" si="235"/>
        <v>36208.339999999997</v>
      </c>
      <c r="AF253" s="11">
        <f t="shared" si="235"/>
        <v>36208.339999999997</v>
      </c>
      <c r="AG253" s="11">
        <f t="shared" si="235"/>
        <v>36208.339999999997</v>
      </c>
      <c r="AH253" s="11">
        <f t="shared" si="235"/>
        <v>36208.339999999997</v>
      </c>
      <c r="AI253" s="11">
        <f>24166.63+12041.65</f>
        <v>36208.28</v>
      </c>
      <c r="AJ253" s="12">
        <f>25000+11075</f>
        <v>36075</v>
      </c>
      <c r="AK253" s="12">
        <f t="shared" ref="AK253:AP253" si="236">25000+11075</f>
        <v>36075</v>
      </c>
      <c r="AL253" s="12">
        <f t="shared" si="236"/>
        <v>36075</v>
      </c>
      <c r="AM253" s="12">
        <f t="shared" si="236"/>
        <v>36075</v>
      </c>
      <c r="AN253" s="12">
        <f t="shared" si="236"/>
        <v>36075</v>
      </c>
      <c r="AO253" s="12">
        <f t="shared" si="236"/>
        <v>36075</v>
      </c>
      <c r="AP253" s="12">
        <f t="shared" si="236"/>
        <v>36075</v>
      </c>
      <c r="AQ253" s="3">
        <f>SUM(AE253:AP253)</f>
        <v>433566.64</v>
      </c>
      <c r="AR253" s="3">
        <f>26250+10075</f>
        <v>36325</v>
      </c>
      <c r="AS253" s="3">
        <f>26250+10075</f>
        <v>36325</v>
      </c>
      <c r="AT253" s="3">
        <f>26250+10075</f>
        <v>36325</v>
      </c>
      <c r="AU253" s="3">
        <f>26250+10075</f>
        <v>36325</v>
      </c>
      <c r="AV253" s="3">
        <f>26250+10075</f>
        <v>36325</v>
      </c>
      <c r="AW253" s="3">
        <f>27500+8762.5</f>
        <v>36262.5</v>
      </c>
      <c r="AX253" s="3">
        <f t="shared" ref="AX253:AZ253" si="237">27500+8762.5</f>
        <v>36262.5</v>
      </c>
      <c r="AY253" s="3">
        <f t="shared" si="237"/>
        <v>36262.5</v>
      </c>
      <c r="AZ253" s="3">
        <f t="shared" si="237"/>
        <v>36262.5</v>
      </c>
      <c r="BA253" s="114">
        <f>26250+10075-1000</f>
        <v>35325</v>
      </c>
      <c r="BB253" s="113">
        <f t="shared" ref="BB253:BC253" si="238">26250+10075</f>
        <v>36325</v>
      </c>
      <c r="BC253" s="113">
        <f t="shared" si="238"/>
        <v>36325</v>
      </c>
      <c r="BD253" s="3">
        <f>SUM(AR253:BC253)</f>
        <v>434650</v>
      </c>
    </row>
    <row r="254" spans="1:56" ht="13.5" thickBot="1" x14ac:dyDescent="0.35">
      <c r="D254" s="13" t="s">
        <v>123</v>
      </c>
      <c r="E254" s="14">
        <f t="shared" ref="E254:P254" si="239">SUM(E251:E253)</f>
        <v>37022.5</v>
      </c>
      <c r="F254" s="14">
        <f t="shared" si="239"/>
        <v>36750.83</v>
      </c>
      <c r="G254" s="14">
        <f t="shared" si="239"/>
        <v>36750.83</v>
      </c>
      <c r="H254" s="14">
        <f t="shared" si="239"/>
        <v>36750.83</v>
      </c>
      <c r="I254" s="14">
        <f t="shared" si="239"/>
        <v>36750.83</v>
      </c>
      <c r="J254" s="14">
        <f t="shared" si="239"/>
        <v>36684.160000000003</v>
      </c>
      <c r="K254" s="14">
        <f t="shared" si="239"/>
        <v>36684.160000000003</v>
      </c>
      <c r="L254" s="14">
        <f t="shared" si="239"/>
        <v>36684.160000000003</v>
      </c>
      <c r="M254" s="14">
        <f t="shared" si="239"/>
        <v>36684.160000000003</v>
      </c>
      <c r="N254" s="14">
        <f t="shared" si="239"/>
        <v>36684.160000000003</v>
      </c>
      <c r="O254" s="14">
        <f t="shared" si="239"/>
        <v>36684.160000000003</v>
      </c>
      <c r="P254" s="14">
        <f t="shared" si="239"/>
        <v>36684.160000000003</v>
      </c>
      <c r="Q254" s="14">
        <f>SUM(Q251:Q253)</f>
        <v>440814.94000000012</v>
      </c>
      <c r="R254" s="14">
        <f t="shared" ref="R254:AC254" si="240">SUM(R251:R253)</f>
        <v>36934.160000000003</v>
      </c>
      <c r="S254" s="14">
        <f t="shared" si="240"/>
        <v>36661.660000000003</v>
      </c>
      <c r="T254" s="14">
        <f t="shared" si="240"/>
        <v>36661.660000000003</v>
      </c>
      <c r="U254" s="14">
        <f t="shared" si="240"/>
        <v>36661.660000000003</v>
      </c>
      <c r="V254" s="14">
        <f t="shared" si="240"/>
        <v>36661.699999999997</v>
      </c>
      <c r="W254" s="14">
        <f t="shared" si="240"/>
        <v>36561.67</v>
      </c>
      <c r="X254" s="14">
        <f t="shared" si="240"/>
        <v>36561.67</v>
      </c>
      <c r="Y254" s="14">
        <f t="shared" si="240"/>
        <v>36561.67</v>
      </c>
      <c r="Z254" s="14">
        <f t="shared" si="240"/>
        <v>36561.67</v>
      </c>
      <c r="AA254" s="14">
        <f t="shared" si="240"/>
        <v>36561.67</v>
      </c>
      <c r="AB254" s="14">
        <f t="shared" si="240"/>
        <v>36561.65</v>
      </c>
      <c r="AC254" s="14">
        <f t="shared" si="240"/>
        <v>36561.67</v>
      </c>
      <c r="AD254" s="14">
        <f>SUM(AD251:AD253)</f>
        <v>439512.50999999995</v>
      </c>
      <c r="AE254" s="14">
        <f>SUM(AE251:AE253)</f>
        <v>36811.67</v>
      </c>
      <c r="AF254" s="14">
        <f>SUM(AF251:AF253)</f>
        <v>36538.339999999997</v>
      </c>
      <c r="AG254" s="14">
        <f t="shared" ref="AG254:AP254" si="241">SUM(AG251:AG253)</f>
        <v>36538.339999999997</v>
      </c>
      <c r="AH254" s="14">
        <f t="shared" si="241"/>
        <v>36538.339999999997</v>
      </c>
      <c r="AI254" s="14">
        <f t="shared" si="241"/>
        <v>36538.28</v>
      </c>
      <c r="AJ254" s="14">
        <f t="shared" si="241"/>
        <v>36405</v>
      </c>
      <c r="AK254" s="14">
        <f t="shared" si="241"/>
        <v>36405</v>
      </c>
      <c r="AL254" s="14">
        <f t="shared" si="241"/>
        <v>36405</v>
      </c>
      <c r="AM254" s="14">
        <f t="shared" si="241"/>
        <v>36405</v>
      </c>
      <c r="AN254" s="14">
        <f t="shared" si="241"/>
        <v>36405</v>
      </c>
      <c r="AO254" s="14">
        <f t="shared" si="241"/>
        <v>36405</v>
      </c>
      <c r="AP254" s="14">
        <f t="shared" si="241"/>
        <v>36405</v>
      </c>
      <c r="AQ254" s="22">
        <f>SUM(AQ251:AQ253)</f>
        <v>437799.97000000003</v>
      </c>
      <c r="AR254" s="22">
        <f t="shared" ref="AR254:BD254" si="242">SUM(AR251:AR253)</f>
        <v>36880.83</v>
      </c>
      <c r="AS254" s="22">
        <f t="shared" si="242"/>
        <v>36605.83</v>
      </c>
      <c r="AT254" s="22">
        <f t="shared" si="242"/>
        <v>36605.83</v>
      </c>
      <c r="AU254" s="22">
        <f t="shared" si="242"/>
        <v>36605.83</v>
      </c>
      <c r="AV254" s="22">
        <f t="shared" si="242"/>
        <v>36605.83</v>
      </c>
      <c r="AW254" s="22">
        <f t="shared" si="242"/>
        <v>36543.33</v>
      </c>
      <c r="AX254" s="22">
        <f t="shared" si="242"/>
        <v>36543.33</v>
      </c>
      <c r="AY254" s="22">
        <f t="shared" si="242"/>
        <v>36543.33</v>
      </c>
      <c r="AZ254" s="22">
        <f t="shared" si="242"/>
        <v>36543.33</v>
      </c>
      <c r="BA254" s="22">
        <f t="shared" si="242"/>
        <v>35855</v>
      </c>
      <c r="BB254" s="22">
        <f t="shared" si="242"/>
        <v>36630.83</v>
      </c>
      <c r="BC254" s="22">
        <f t="shared" si="242"/>
        <v>36630.83</v>
      </c>
      <c r="BD254" s="22">
        <f t="shared" si="242"/>
        <v>438594.13</v>
      </c>
    </row>
    <row r="255" spans="1:56" x14ac:dyDescent="0.3">
      <c r="D255" s="15"/>
    </row>
    <row r="256" spans="1:56" ht="15.5" x14ac:dyDescent="0.35">
      <c r="B256" s="1">
        <f>B250+1</f>
        <v>33</v>
      </c>
      <c r="C256" s="24" t="s">
        <v>14</v>
      </c>
      <c r="D256" s="25" t="s">
        <v>124</v>
      </c>
    </row>
    <row r="257" spans="1:56" x14ac:dyDescent="0.3">
      <c r="D257" s="8" t="s">
        <v>8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f>SUM(E257:P257)</f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f>SUM(R257:AC257)</f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3">
        <f>SUM(AE257:AP257)</f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f>SUM(AR257:BC257)</f>
        <v>0</v>
      </c>
    </row>
    <row r="258" spans="1:56" x14ac:dyDescent="0.3">
      <c r="D258" s="8" t="s">
        <v>9</v>
      </c>
      <c r="E258" s="11">
        <v>250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2">
        <f>SUM(E258:P258)</f>
        <v>250</v>
      </c>
      <c r="R258" s="11">
        <v>250</v>
      </c>
      <c r="AD258" s="12">
        <f>SUM(R258:AC258)</f>
        <v>250</v>
      </c>
      <c r="AE258" s="11">
        <v>250</v>
      </c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3">
        <f>SUM(AE258:AP258)</f>
        <v>250</v>
      </c>
      <c r="AR258" s="3">
        <v>250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f>SUM(AR258:BC258)</f>
        <v>250</v>
      </c>
    </row>
    <row r="259" spans="1:56" ht="13.5" thickBot="1" x14ac:dyDescent="0.35">
      <c r="A259" t="s">
        <v>125</v>
      </c>
      <c r="D259" s="8" t="s">
        <v>10</v>
      </c>
      <c r="E259" s="11">
        <f>36666.67+80458.33</f>
        <v>117125</v>
      </c>
      <c r="F259" s="11">
        <f t="shared" ref="F259:O259" si="243">36666.67+80458.33</f>
        <v>117125</v>
      </c>
      <c r="G259" s="11">
        <f t="shared" si="243"/>
        <v>117125</v>
      </c>
      <c r="H259" s="11">
        <f t="shared" si="243"/>
        <v>117125</v>
      </c>
      <c r="I259" s="11">
        <f t="shared" si="243"/>
        <v>117125</v>
      </c>
      <c r="J259" s="11">
        <f>36666.67+80458.35</f>
        <v>117125.02</v>
      </c>
      <c r="K259" s="11">
        <f t="shared" si="243"/>
        <v>117125</v>
      </c>
      <c r="L259" s="11">
        <f t="shared" si="243"/>
        <v>117125</v>
      </c>
      <c r="M259" s="11">
        <f t="shared" si="243"/>
        <v>117125</v>
      </c>
      <c r="N259" s="11">
        <f t="shared" si="243"/>
        <v>117125</v>
      </c>
      <c r="O259" s="11">
        <f t="shared" si="243"/>
        <v>117125</v>
      </c>
      <c r="P259" s="11">
        <f>36666.63+80458.35</f>
        <v>117124.98000000001</v>
      </c>
      <c r="Q259" s="12">
        <f>SUM(E259:P259)</f>
        <v>1405500</v>
      </c>
      <c r="R259" s="11">
        <f>38333.33+79083.33</f>
        <v>117416.66</v>
      </c>
      <c r="S259" s="11">
        <f t="shared" ref="S259:AB259" si="244">38333.33+79083.33</f>
        <v>117416.66</v>
      </c>
      <c r="T259" s="11">
        <f t="shared" si="244"/>
        <v>117416.66</v>
      </c>
      <c r="U259" s="11">
        <f t="shared" si="244"/>
        <v>117416.66</v>
      </c>
      <c r="V259" s="11">
        <f t="shared" si="244"/>
        <v>117416.66</v>
      </c>
      <c r="W259" s="11">
        <f>38333.33+79083.35</f>
        <v>117416.68000000001</v>
      </c>
      <c r="X259" s="11">
        <f t="shared" si="244"/>
        <v>117416.66</v>
      </c>
      <c r="Y259" s="11">
        <f t="shared" si="244"/>
        <v>117416.66</v>
      </c>
      <c r="Z259" s="11">
        <f t="shared" si="244"/>
        <v>117416.66</v>
      </c>
      <c r="AA259" s="11">
        <f t="shared" si="244"/>
        <v>117416.66</v>
      </c>
      <c r="AB259" s="11">
        <f t="shared" si="244"/>
        <v>117416.66</v>
      </c>
      <c r="AC259" s="11">
        <f>38333.37+79083.35</f>
        <v>117416.72</v>
      </c>
      <c r="AD259" s="12">
        <f>SUM(R259:AC259)</f>
        <v>1409000</v>
      </c>
      <c r="AE259" s="12">
        <f>39583.33+77645.83</f>
        <v>117229.16</v>
      </c>
      <c r="AF259" s="12">
        <f t="shared" ref="AF259:AO259" si="245">39583.33+77645.83</f>
        <v>117229.16</v>
      </c>
      <c r="AG259" s="12">
        <f t="shared" si="245"/>
        <v>117229.16</v>
      </c>
      <c r="AH259" s="12">
        <f t="shared" si="245"/>
        <v>117229.16</v>
      </c>
      <c r="AI259" s="12">
        <f t="shared" si="245"/>
        <v>117229.16</v>
      </c>
      <c r="AJ259" s="12">
        <f>39583.33+77645.85</f>
        <v>117229.18000000001</v>
      </c>
      <c r="AK259" s="12">
        <f t="shared" si="245"/>
        <v>117229.16</v>
      </c>
      <c r="AL259" s="12">
        <f t="shared" si="245"/>
        <v>117229.16</v>
      </c>
      <c r="AM259" s="12">
        <f t="shared" si="245"/>
        <v>117229.16</v>
      </c>
      <c r="AN259" s="12">
        <f t="shared" si="245"/>
        <v>117229.16</v>
      </c>
      <c r="AO259" s="12">
        <f t="shared" si="245"/>
        <v>117229.16</v>
      </c>
      <c r="AP259" s="12">
        <f>39583.37+77645.85</f>
        <v>117229.22</v>
      </c>
      <c r="AQ259" s="3">
        <f>SUM(AE259:AP259)</f>
        <v>1406750</v>
      </c>
      <c r="AR259" s="3">
        <f>41250+76161.46</f>
        <v>117411.46</v>
      </c>
      <c r="AS259" s="3">
        <f>41250+76161.46</f>
        <v>117411.46</v>
      </c>
      <c r="AT259" s="3">
        <f>41250+76161.46</f>
        <v>117411.46</v>
      </c>
      <c r="AU259" s="3">
        <f>41250+76161.46</f>
        <v>117411.46</v>
      </c>
      <c r="AV259" s="3">
        <f>41250+76161.46</f>
        <v>117411.46</v>
      </c>
      <c r="AW259" s="3">
        <f>41250+76161.45</f>
        <v>117411.45</v>
      </c>
      <c r="AX259" s="3">
        <f>41250+76161.46</f>
        <v>117411.46</v>
      </c>
      <c r="AY259" s="3">
        <f>41250+76161.46</f>
        <v>117411.46</v>
      </c>
      <c r="AZ259" s="3">
        <f>41250+76161.46</f>
        <v>117411.46</v>
      </c>
      <c r="BA259" s="3">
        <f>41250+76161.46</f>
        <v>117411.46</v>
      </c>
      <c r="BB259" s="3">
        <f>41250+76161.46</f>
        <v>117411.46</v>
      </c>
      <c r="BC259" s="3">
        <f>41250+76161.45</f>
        <v>117411.45</v>
      </c>
      <c r="BD259" s="3">
        <f>SUM(AR259:BC259)</f>
        <v>1408937.4999999998</v>
      </c>
    </row>
    <row r="260" spans="1:56" ht="13.5" thickBot="1" x14ac:dyDescent="0.35">
      <c r="D260" s="13" t="s">
        <v>126</v>
      </c>
      <c r="E260" s="14">
        <f t="shared" ref="E260:P260" si="246">SUM(E257:E259)</f>
        <v>117375</v>
      </c>
      <c r="F260" s="14">
        <f t="shared" si="246"/>
        <v>117125</v>
      </c>
      <c r="G260" s="14">
        <f t="shared" si="246"/>
        <v>117125</v>
      </c>
      <c r="H260" s="14">
        <f t="shared" si="246"/>
        <v>117125</v>
      </c>
      <c r="I260" s="14">
        <f t="shared" si="246"/>
        <v>117125</v>
      </c>
      <c r="J260" s="14">
        <f t="shared" si="246"/>
        <v>117125.02</v>
      </c>
      <c r="K260" s="14">
        <f t="shared" si="246"/>
        <v>117125</v>
      </c>
      <c r="L260" s="14">
        <f t="shared" si="246"/>
        <v>117125</v>
      </c>
      <c r="M260" s="14">
        <f t="shared" si="246"/>
        <v>117125</v>
      </c>
      <c r="N260" s="14">
        <f t="shared" si="246"/>
        <v>117125</v>
      </c>
      <c r="O260" s="14">
        <f t="shared" si="246"/>
        <v>117125</v>
      </c>
      <c r="P260" s="14">
        <f t="shared" si="246"/>
        <v>117124.98000000001</v>
      </c>
      <c r="Q260" s="14">
        <f>SUM(Q257:Q259)</f>
        <v>1405750</v>
      </c>
      <c r="R260" s="14">
        <f t="shared" ref="R260:AC260" si="247">SUM(R257:R259)</f>
        <v>117666.66</v>
      </c>
      <c r="S260" s="14">
        <f t="shared" si="247"/>
        <v>117416.66</v>
      </c>
      <c r="T260" s="14">
        <f t="shared" si="247"/>
        <v>117416.66</v>
      </c>
      <c r="U260" s="14">
        <f t="shared" si="247"/>
        <v>117416.66</v>
      </c>
      <c r="V260" s="14">
        <f t="shared" si="247"/>
        <v>117416.66</v>
      </c>
      <c r="W260" s="14">
        <f t="shared" si="247"/>
        <v>117416.68000000001</v>
      </c>
      <c r="X260" s="14">
        <f t="shared" si="247"/>
        <v>117416.66</v>
      </c>
      <c r="Y260" s="14">
        <f t="shared" si="247"/>
        <v>117416.66</v>
      </c>
      <c r="Z260" s="14">
        <f t="shared" si="247"/>
        <v>117416.66</v>
      </c>
      <c r="AA260" s="14">
        <f t="shared" si="247"/>
        <v>117416.66</v>
      </c>
      <c r="AB260" s="14">
        <f t="shared" si="247"/>
        <v>117416.66</v>
      </c>
      <c r="AC260" s="14">
        <f t="shared" si="247"/>
        <v>117416.72</v>
      </c>
      <c r="AD260" s="14">
        <f>SUM(AD257:AD259)</f>
        <v>1409250</v>
      </c>
      <c r="AE260" s="14">
        <f>SUM(AE257:AE259)</f>
        <v>117479.16</v>
      </c>
      <c r="AF260" s="14">
        <f>SUM(AF257:AF259)</f>
        <v>117229.16</v>
      </c>
      <c r="AG260" s="14">
        <f t="shared" ref="AG260:AP260" si="248">SUM(AG257:AG259)</f>
        <v>117229.16</v>
      </c>
      <c r="AH260" s="14">
        <f t="shared" si="248"/>
        <v>117229.16</v>
      </c>
      <c r="AI260" s="14">
        <f t="shared" si="248"/>
        <v>117229.16</v>
      </c>
      <c r="AJ260" s="14">
        <f t="shared" si="248"/>
        <v>117229.18000000001</v>
      </c>
      <c r="AK260" s="14">
        <f t="shared" si="248"/>
        <v>117229.16</v>
      </c>
      <c r="AL260" s="14">
        <f t="shared" si="248"/>
        <v>117229.16</v>
      </c>
      <c r="AM260" s="14">
        <f t="shared" si="248"/>
        <v>117229.16</v>
      </c>
      <c r="AN260" s="14">
        <f t="shared" si="248"/>
        <v>117229.16</v>
      </c>
      <c r="AO260" s="14">
        <f t="shared" si="248"/>
        <v>117229.16</v>
      </c>
      <c r="AP260" s="14">
        <f t="shared" si="248"/>
        <v>117229.22</v>
      </c>
      <c r="AQ260" s="22">
        <f>SUM(AQ257:AQ259)</f>
        <v>1407000</v>
      </c>
      <c r="AR260" s="22">
        <f t="shared" ref="AR260:BD260" si="249">SUM(AR257:AR259)</f>
        <v>117661.46</v>
      </c>
      <c r="AS260" s="22">
        <f t="shared" si="249"/>
        <v>117411.46</v>
      </c>
      <c r="AT260" s="22">
        <f t="shared" si="249"/>
        <v>117411.46</v>
      </c>
      <c r="AU260" s="22">
        <f t="shared" si="249"/>
        <v>117411.46</v>
      </c>
      <c r="AV260" s="22">
        <f t="shared" si="249"/>
        <v>117411.46</v>
      </c>
      <c r="AW260" s="22">
        <f t="shared" si="249"/>
        <v>117411.45</v>
      </c>
      <c r="AX260" s="22">
        <f t="shared" si="249"/>
        <v>117411.46</v>
      </c>
      <c r="AY260" s="22">
        <f t="shared" si="249"/>
        <v>117411.46</v>
      </c>
      <c r="AZ260" s="22">
        <f t="shared" si="249"/>
        <v>117411.46</v>
      </c>
      <c r="BA260" s="22">
        <f t="shared" si="249"/>
        <v>117411.46</v>
      </c>
      <c r="BB260" s="22">
        <f t="shared" si="249"/>
        <v>117411.46</v>
      </c>
      <c r="BC260" s="22">
        <f t="shared" si="249"/>
        <v>117411.45</v>
      </c>
      <c r="BD260" s="22">
        <f t="shared" si="249"/>
        <v>1409187.4999999998</v>
      </c>
    </row>
    <row r="261" spans="1:56" x14ac:dyDescent="0.3">
      <c r="D261" s="15"/>
    </row>
    <row r="262" spans="1:56" ht="15.5" x14ac:dyDescent="0.35">
      <c r="C262" s="30" t="s">
        <v>6</v>
      </c>
      <c r="D262" s="10" t="s">
        <v>127</v>
      </c>
    </row>
    <row r="263" spans="1:56" x14ac:dyDescent="0.3">
      <c r="D263" s="8" t="s">
        <v>8</v>
      </c>
      <c r="E263" s="12">
        <v>0</v>
      </c>
      <c r="F263" s="12">
        <v>0</v>
      </c>
      <c r="G263" s="12">
        <v>0</v>
      </c>
      <c r="H263" s="12">
        <v>0</v>
      </c>
      <c r="I263" s="12"/>
      <c r="J263" s="12"/>
      <c r="K263" s="12"/>
      <c r="L263" s="12"/>
      <c r="M263" s="12"/>
      <c r="N263" s="12"/>
      <c r="O263" s="12"/>
      <c r="P263" s="12"/>
      <c r="Q263" s="12">
        <f>SUM(E263:P263)</f>
        <v>0</v>
      </c>
    </row>
    <row r="264" spans="1:56" x14ac:dyDescent="0.3">
      <c r="D264" s="8" t="s">
        <v>9</v>
      </c>
      <c r="E264" s="11">
        <v>250</v>
      </c>
      <c r="F264" s="11"/>
      <c r="G264" s="11"/>
      <c r="H264" s="26"/>
      <c r="I264" s="11"/>
      <c r="J264" s="11"/>
      <c r="K264" s="11"/>
      <c r="L264" s="11"/>
      <c r="M264" s="11"/>
      <c r="N264" s="11"/>
      <c r="O264" s="11"/>
      <c r="P264" s="11"/>
      <c r="Q264" s="12">
        <f>SUM(E264:P264)</f>
        <v>250</v>
      </c>
    </row>
    <row r="265" spans="1:56" ht="13.5" thickBot="1" x14ac:dyDescent="0.35">
      <c r="A265" t="s">
        <v>128</v>
      </c>
      <c r="D265" s="8" t="s">
        <v>10</v>
      </c>
      <c r="E265" s="11">
        <v>101809.9</v>
      </c>
      <c r="F265" s="11">
        <v>101809.9</v>
      </c>
      <c r="G265" s="11">
        <v>101881.25</v>
      </c>
      <c r="H265" s="17">
        <f>101881.25-34350</f>
        <v>67531.25</v>
      </c>
      <c r="I265" s="11"/>
      <c r="J265" s="11"/>
      <c r="K265" s="11"/>
      <c r="L265" s="11"/>
      <c r="M265" s="11"/>
      <c r="N265" s="11"/>
      <c r="O265" s="11"/>
      <c r="P265" s="11"/>
      <c r="Q265" s="12">
        <f>SUM(E265:P265)</f>
        <v>373032.3</v>
      </c>
    </row>
    <row r="266" spans="1:56" ht="13.5" thickBot="1" x14ac:dyDescent="0.35">
      <c r="D266" s="13" t="s">
        <v>129</v>
      </c>
      <c r="E266" s="14">
        <f t="shared" ref="E266:P266" si="250">SUM(E263:E265)</f>
        <v>102059.9</v>
      </c>
      <c r="F266" s="14">
        <f t="shared" si="250"/>
        <v>101809.9</v>
      </c>
      <c r="G266" s="14">
        <f t="shared" si="250"/>
        <v>101881.25</v>
      </c>
      <c r="H266" s="14">
        <f t="shared" si="250"/>
        <v>67531.25</v>
      </c>
      <c r="I266" s="14">
        <f t="shared" si="250"/>
        <v>0</v>
      </c>
      <c r="J266" s="14">
        <f t="shared" si="250"/>
        <v>0</v>
      </c>
      <c r="K266" s="14">
        <f t="shared" si="250"/>
        <v>0</v>
      </c>
      <c r="L266" s="14">
        <f t="shared" si="250"/>
        <v>0</v>
      </c>
      <c r="M266" s="14">
        <f t="shared" si="250"/>
        <v>0</v>
      </c>
      <c r="N266" s="14">
        <f t="shared" si="250"/>
        <v>0</v>
      </c>
      <c r="O266" s="14">
        <f t="shared" si="250"/>
        <v>0</v>
      </c>
      <c r="P266" s="14">
        <f t="shared" si="250"/>
        <v>0</v>
      </c>
      <c r="Q266" s="14">
        <f>SUM(Q263:Q265)</f>
        <v>373282.3</v>
      </c>
    </row>
    <row r="267" spans="1:56" x14ac:dyDescent="0.3">
      <c r="D267" s="15"/>
    </row>
    <row r="268" spans="1:56" ht="15.5" x14ac:dyDescent="0.35">
      <c r="C268" s="30" t="s">
        <v>6</v>
      </c>
      <c r="D268" s="10" t="s">
        <v>130</v>
      </c>
    </row>
    <row r="269" spans="1:56" x14ac:dyDescent="0.3">
      <c r="D269" s="8" t="s">
        <v>8</v>
      </c>
      <c r="E269" s="12">
        <v>0</v>
      </c>
      <c r="F269" s="12">
        <v>0</v>
      </c>
      <c r="G269" s="12">
        <v>0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>
        <f>SUM(E269:P269)</f>
        <v>0</v>
      </c>
    </row>
    <row r="270" spans="1:56" x14ac:dyDescent="0.3">
      <c r="D270" s="8" t="s">
        <v>9</v>
      </c>
      <c r="E270" s="11">
        <v>250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2">
        <f>SUM(E270:P270)</f>
        <v>250</v>
      </c>
    </row>
    <row r="271" spans="1:56" ht="13.5" thickBot="1" x14ac:dyDescent="0.35">
      <c r="A271" t="s">
        <v>131</v>
      </c>
      <c r="D271" s="8" t="s">
        <v>10</v>
      </c>
      <c r="E271" s="11">
        <v>179597.24</v>
      </c>
      <c r="F271" s="11">
        <v>179597.24</v>
      </c>
      <c r="G271" s="11">
        <v>179597.24</v>
      </c>
      <c r="H271" s="12"/>
      <c r="I271" s="11"/>
      <c r="J271" s="11"/>
      <c r="K271" s="11"/>
      <c r="L271" s="11"/>
      <c r="M271" s="11"/>
      <c r="N271" s="11"/>
      <c r="O271" s="11"/>
      <c r="P271" s="11"/>
      <c r="Q271" s="12">
        <f>SUM(E271:P271)</f>
        <v>538791.72</v>
      </c>
    </row>
    <row r="272" spans="1:56" ht="13.5" thickBot="1" x14ac:dyDescent="0.35">
      <c r="D272" s="13" t="s">
        <v>132</v>
      </c>
      <c r="E272" s="14">
        <f t="shared" ref="E272:P272" si="251">SUM(E269:E271)</f>
        <v>179847.24</v>
      </c>
      <c r="F272" s="14">
        <f t="shared" si="251"/>
        <v>179597.24</v>
      </c>
      <c r="G272" s="14">
        <f t="shared" si="251"/>
        <v>179597.24</v>
      </c>
      <c r="H272" s="14">
        <f t="shared" si="251"/>
        <v>0</v>
      </c>
      <c r="I272" s="14">
        <f t="shared" si="251"/>
        <v>0</v>
      </c>
      <c r="J272" s="14">
        <f t="shared" si="251"/>
        <v>0</v>
      </c>
      <c r="K272" s="14">
        <f t="shared" si="251"/>
        <v>0</v>
      </c>
      <c r="L272" s="14">
        <f t="shared" si="251"/>
        <v>0</v>
      </c>
      <c r="M272" s="14">
        <f t="shared" si="251"/>
        <v>0</v>
      </c>
      <c r="N272" s="14">
        <f t="shared" si="251"/>
        <v>0</v>
      </c>
      <c r="O272" s="14">
        <f t="shared" si="251"/>
        <v>0</v>
      </c>
      <c r="P272" s="14">
        <f t="shared" si="251"/>
        <v>0</v>
      </c>
      <c r="Q272" s="14">
        <f>SUM(Q269:Q271)</f>
        <v>539041.72</v>
      </c>
    </row>
    <row r="273" spans="1:56" x14ac:dyDescent="0.3">
      <c r="D273" s="15"/>
    </row>
    <row r="274" spans="1:56" ht="15.5" x14ac:dyDescent="0.35">
      <c r="C274" s="30" t="s">
        <v>6</v>
      </c>
      <c r="D274" s="10" t="s">
        <v>133</v>
      </c>
    </row>
    <row r="275" spans="1:56" x14ac:dyDescent="0.3">
      <c r="D275" s="8" t="s">
        <v>8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f>SUM(E275:P275)</f>
        <v>0</v>
      </c>
      <c r="R275" s="12">
        <v>0</v>
      </c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>
        <f>SUM(R275:AC275)</f>
        <v>0</v>
      </c>
    </row>
    <row r="276" spans="1:56" x14ac:dyDescent="0.3">
      <c r="D276" s="8" t="s">
        <v>9</v>
      </c>
      <c r="E276" s="11">
        <v>250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2">
        <f>SUM(E276:P276)</f>
        <v>250</v>
      </c>
      <c r="R276" s="11">
        <v>250</v>
      </c>
      <c r="AD276" s="12">
        <f>SUM(R276:AC276)</f>
        <v>250</v>
      </c>
    </row>
    <row r="277" spans="1:56" ht="13.5" thickBot="1" x14ac:dyDescent="0.35">
      <c r="A277" t="s">
        <v>134</v>
      </c>
      <c r="D277" s="8" t="s">
        <v>10</v>
      </c>
      <c r="E277" s="11">
        <f>29166.66+32569.27</f>
        <v>61735.93</v>
      </c>
      <c r="F277" s="11">
        <f>29166.66+32569.27</f>
        <v>61735.93</v>
      </c>
      <c r="G277" s="11">
        <f>29166.66+32569.27</f>
        <v>61735.93</v>
      </c>
      <c r="H277" s="11">
        <f>29166.74+32569.28</f>
        <v>61736.020000000004</v>
      </c>
      <c r="I277" s="11">
        <f>30000+31511.98</f>
        <v>61511.979999999996</v>
      </c>
      <c r="J277" s="11">
        <f t="shared" ref="J277:R277" si="252">30000+31511.98</f>
        <v>61511.979999999996</v>
      </c>
      <c r="K277" s="11">
        <f t="shared" si="252"/>
        <v>61511.979999999996</v>
      </c>
      <c r="L277" s="11">
        <f t="shared" si="252"/>
        <v>61511.979999999996</v>
      </c>
      <c r="M277" s="11">
        <f t="shared" si="252"/>
        <v>61511.979999999996</v>
      </c>
      <c r="N277" s="11">
        <f t="shared" si="252"/>
        <v>61511.979999999996</v>
      </c>
      <c r="O277" s="11">
        <f t="shared" si="252"/>
        <v>61511.979999999996</v>
      </c>
      <c r="P277" s="11">
        <f t="shared" si="252"/>
        <v>61511.979999999996</v>
      </c>
      <c r="Q277" s="12">
        <f>SUM(E277:P277)</f>
        <v>739039.64999999991</v>
      </c>
      <c r="R277" s="11">
        <f t="shared" si="252"/>
        <v>61511.979999999996</v>
      </c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2">
        <f>SUM(R277:AC277)</f>
        <v>61511.979999999996</v>
      </c>
    </row>
    <row r="278" spans="1:56" ht="13.5" thickBot="1" x14ac:dyDescent="0.35">
      <c r="D278" s="13" t="s">
        <v>135</v>
      </c>
      <c r="E278" s="14">
        <f t="shared" ref="E278:P278" si="253">SUM(E275:E277)</f>
        <v>61985.93</v>
      </c>
      <c r="F278" s="14">
        <f t="shared" si="253"/>
        <v>61735.93</v>
      </c>
      <c r="G278" s="14">
        <f t="shared" si="253"/>
        <v>61735.93</v>
      </c>
      <c r="H278" s="14">
        <f t="shared" si="253"/>
        <v>61736.020000000004</v>
      </c>
      <c r="I278" s="14">
        <f t="shared" si="253"/>
        <v>61511.979999999996</v>
      </c>
      <c r="J278" s="14">
        <f t="shared" si="253"/>
        <v>61511.979999999996</v>
      </c>
      <c r="K278" s="14">
        <f t="shared" si="253"/>
        <v>61511.979999999996</v>
      </c>
      <c r="L278" s="14">
        <f t="shared" si="253"/>
        <v>61511.979999999996</v>
      </c>
      <c r="M278" s="14">
        <f t="shared" si="253"/>
        <v>61511.979999999996</v>
      </c>
      <c r="N278" s="14">
        <f t="shared" si="253"/>
        <v>61511.979999999996</v>
      </c>
      <c r="O278" s="14">
        <f t="shared" si="253"/>
        <v>61511.979999999996</v>
      </c>
      <c r="P278" s="14">
        <f t="shared" si="253"/>
        <v>61511.979999999996</v>
      </c>
      <c r="Q278" s="14">
        <f>SUM(Q275:Q277)</f>
        <v>739289.64999999991</v>
      </c>
      <c r="R278" s="14">
        <f t="shared" ref="R278:AC278" si="254">SUM(R275:R277)</f>
        <v>61761.979999999996</v>
      </c>
      <c r="S278" s="14">
        <f t="shared" si="254"/>
        <v>0</v>
      </c>
      <c r="T278" s="14">
        <f t="shared" si="254"/>
        <v>0</v>
      </c>
      <c r="U278" s="14">
        <f t="shared" si="254"/>
        <v>0</v>
      </c>
      <c r="V278" s="14">
        <f t="shared" si="254"/>
        <v>0</v>
      </c>
      <c r="W278" s="14">
        <f t="shared" si="254"/>
        <v>0</v>
      </c>
      <c r="X278" s="14">
        <f t="shared" si="254"/>
        <v>0</v>
      </c>
      <c r="Y278" s="14">
        <f t="shared" si="254"/>
        <v>0</v>
      </c>
      <c r="Z278" s="14">
        <f t="shared" si="254"/>
        <v>0</v>
      </c>
      <c r="AA278" s="14">
        <f t="shared" si="254"/>
        <v>0</v>
      </c>
      <c r="AB278" s="14">
        <f t="shared" si="254"/>
        <v>0</v>
      </c>
      <c r="AC278" s="14">
        <f t="shared" si="254"/>
        <v>0</v>
      </c>
      <c r="AD278" s="14">
        <f>SUM(AD275:AD277)</f>
        <v>61761.979999999996</v>
      </c>
    </row>
    <row r="279" spans="1:56" x14ac:dyDescent="0.3">
      <c r="D279" s="15"/>
    </row>
    <row r="280" spans="1:56" ht="15.5" x14ac:dyDescent="0.35">
      <c r="B280" s="1">
        <f>B256+1</f>
        <v>34</v>
      </c>
      <c r="C280" s="24" t="s">
        <v>14</v>
      </c>
      <c r="D280" s="25" t="s">
        <v>136</v>
      </c>
    </row>
    <row r="281" spans="1:56" x14ac:dyDescent="0.3">
      <c r="D281" s="8" t="s">
        <v>8</v>
      </c>
      <c r="E281" s="11">
        <v>464.17</v>
      </c>
      <c r="F281" s="11">
        <v>464.17</v>
      </c>
      <c r="G281" s="11">
        <v>464.17</v>
      </c>
      <c r="H281" s="11">
        <v>464.17</v>
      </c>
      <c r="I281" s="11">
        <v>464.17</v>
      </c>
      <c r="J281" s="11">
        <v>464.17</v>
      </c>
      <c r="K281" s="11">
        <v>464.17</v>
      </c>
      <c r="L281" s="11">
        <v>452.08</v>
      </c>
      <c r="M281" s="11">
        <v>452.08</v>
      </c>
      <c r="N281" s="11">
        <v>452.08</v>
      </c>
      <c r="O281" s="11">
        <v>452.08</v>
      </c>
      <c r="P281" s="11">
        <v>452.08</v>
      </c>
      <c r="Q281" s="12">
        <f>SUM(E281:P281)</f>
        <v>5509.59</v>
      </c>
      <c r="R281" s="11">
        <v>452.08</v>
      </c>
      <c r="S281" s="11">
        <v>452.08</v>
      </c>
      <c r="T281" s="11">
        <v>452.08</v>
      </c>
      <c r="U281" s="11">
        <v>452.08</v>
      </c>
      <c r="V281" s="11">
        <v>452.08</v>
      </c>
      <c r="W281" s="11">
        <v>452.08</v>
      </c>
      <c r="X281" s="11">
        <v>452.08</v>
      </c>
      <c r="Y281" s="11">
        <v>439.58</v>
      </c>
      <c r="Z281" s="11">
        <v>439.58</v>
      </c>
      <c r="AA281" s="11">
        <v>439.58</v>
      </c>
      <c r="AB281" s="11">
        <v>439.58</v>
      </c>
      <c r="AC281" s="11">
        <v>439.58</v>
      </c>
      <c r="AD281" s="12">
        <f>SUM(R281:AC281)</f>
        <v>5362.46</v>
      </c>
      <c r="AE281" s="11">
        <v>439.58</v>
      </c>
      <c r="AF281" s="11">
        <v>439.58</v>
      </c>
      <c r="AG281" s="11">
        <v>439.58</v>
      </c>
      <c r="AH281" s="11">
        <v>439.58</v>
      </c>
      <c r="AI281" s="11">
        <v>439.58</v>
      </c>
      <c r="AJ281" s="11">
        <v>439.58</v>
      </c>
      <c r="AK281" s="11">
        <v>439.58</v>
      </c>
      <c r="AL281" s="12">
        <v>426.67</v>
      </c>
      <c r="AM281" s="12">
        <v>426.67</v>
      </c>
      <c r="AN281" s="12">
        <v>426.67</v>
      </c>
      <c r="AO281" s="12">
        <v>426.67</v>
      </c>
      <c r="AP281" s="12">
        <v>426.67</v>
      </c>
      <c r="AQ281" s="3">
        <f>SUM(AE281:AP281)</f>
        <v>5210.41</v>
      </c>
      <c r="AR281" s="3">
        <v>426.67</v>
      </c>
      <c r="AS281" s="3">
        <v>426.67</v>
      </c>
      <c r="AT281" s="3">
        <v>426.67</v>
      </c>
      <c r="AU281" s="3">
        <v>426.67</v>
      </c>
      <c r="AV281" s="3">
        <v>426.67</v>
      </c>
      <c r="AW281" s="3">
        <v>426.67</v>
      </c>
      <c r="AX281" s="3">
        <v>426.67</v>
      </c>
      <c r="AY281" s="3">
        <v>413.33</v>
      </c>
      <c r="AZ281" s="3">
        <v>413.33</v>
      </c>
      <c r="BA281" s="3">
        <v>413.33</v>
      </c>
      <c r="BB281" s="3">
        <v>413.33</v>
      </c>
      <c r="BC281" s="3">
        <v>413.33</v>
      </c>
      <c r="BD281" s="3">
        <f>SUM(AR281:BC281)</f>
        <v>5053.34</v>
      </c>
    </row>
    <row r="282" spans="1:56" x14ac:dyDescent="0.3">
      <c r="D282" s="8" t="s">
        <v>9</v>
      </c>
      <c r="E282" s="11">
        <v>250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2">
        <f>SUM(E282:P282)</f>
        <v>250</v>
      </c>
      <c r="R282" s="11">
        <v>250</v>
      </c>
      <c r="AD282" s="12">
        <f>SUM(R282:AC282)</f>
        <v>250</v>
      </c>
      <c r="AE282" s="11">
        <v>250</v>
      </c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3">
        <f>SUM(AE282:AP282)</f>
        <v>250</v>
      </c>
      <c r="AR282" s="3">
        <v>250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f>SUM(AR282:BC282)</f>
        <v>250</v>
      </c>
    </row>
    <row r="283" spans="1:56" ht="13.5" thickBot="1" x14ac:dyDescent="0.35">
      <c r="A283" t="s">
        <v>137</v>
      </c>
      <c r="D283" s="8" t="s">
        <v>10</v>
      </c>
      <c r="E283" s="11">
        <f t="shared" ref="E283:K283" si="255">12083.33+19708.33</f>
        <v>31791.660000000003</v>
      </c>
      <c r="F283" s="11">
        <f>12083.33+19708.35</f>
        <v>31791.68</v>
      </c>
      <c r="G283" s="11">
        <f t="shared" si="255"/>
        <v>31791.660000000003</v>
      </c>
      <c r="H283" s="11">
        <f t="shared" si="255"/>
        <v>31791.660000000003</v>
      </c>
      <c r="I283" s="11">
        <f t="shared" si="255"/>
        <v>31791.660000000003</v>
      </c>
      <c r="J283" s="11">
        <f t="shared" si="255"/>
        <v>31791.660000000003</v>
      </c>
      <c r="K283" s="11">
        <f t="shared" si="255"/>
        <v>31791.660000000003</v>
      </c>
      <c r="L283" s="11">
        <f>12083.37+19708.35</f>
        <v>31791.72</v>
      </c>
      <c r="M283" s="11">
        <f>12500+19225</f>
        <v>31725</v>
      </c>
      <c r="N283" s="11">
        <f>12500+19225</f>
        <v>31725</v>
      </c>
      <c r="O283" s="11">
        <f>12500+19225</f>
        <v>31725</v>
      </c>
      <c r="P283" s="11">
        <f>12500+19225</f>
        <v>31725</v>
      </c>
      <c r="Q283" s="12">
        <f>SUM(E283:P283)</f>
        <v>381233.36</v>
      </c>
      <c r="R283" s="11">
        <f t="shared" ref="R283:Y283" si="256">12500+19225</f>
        <v>31725</v>
      </c>
      <c r="S283" s="11">
        <f t="shared" si="256"/>
        <v>31725</v>
      </c>
      <c r="T283" s="11">
        <f t="shared" si="256"/>
        <v>31725</v>
      </c>
      <c r="U283" s="11">
        <f t="shared" si="256"/>
        <v>31725</v>
      </c>
      <c r="V283" s="11">
        <f t="shared" si="256"/>
        <v>31725</v>
      </c>
      <c r="W283" s="11">
        <f t="shared" si="256"/>
        <v>31725</v>
      </c>
      <c r="X283" s="11">
        <f t="shared" si="256"/>
        <v>31725</v>
      </c>
      <c r="Y283" s="11">
        <f t="shared" si="256"/>
        <v>31725</v>
      </c>
      <c r="Z283" s="11">
        <f>12916.67+18725</f>
        <v>31641.67</v>
      </c>
      <c r="AA283" s="11">
        <f>12916.67+18725</f>
        <v>31641.67</v>
      </c>
      <c r="AB283" s="11">
        <f>12916.67+18725</f>
        <v>31641.67</v>
      </c>
      <c r="AC283" s="11">
        <f>12916.67+18725</f>
        <v>31641.67</v>
      </c>
      <c r="AD283" s="12">
        <f>SUM(R283:AC283)</f>
        <v>380366.67999999993</v>
      </c>
      <c r="AE283" s="11">
        <f t="shared" ref="AE283:AK283" si="257">12916.67+18725</f>
        <v>31641.67</v>
      </c>
      <c r="AF283" s="11">
        <f t="shared" si="257"/>
        <v>31641.67</v>
      </c>
      <c r="AG283" s="11">
        <f t="shared" si="257"/>
        <v>31641.67</v>
      </c>
      <c r="AH283" s="11">
        <f t="shared" si="257"/>
        <v>31641.67</v>
      </c>
      <c r="AI283" s="11">
        <f t="shared" si="257"/>
        <v>31641.67</v>
      </c>
      <c r="AJ283" s="11">
        <f t="shared" si="257"/>
        <v>31641.67</v>
      </c>
      <c r="AK283" s="11">
        <f t="shared" si="257"/>
        <v>31641.67</v>
      </c>
      <c r="AL283" s="11">
        <f>12916.63+18725</f>
        <v>31641.629999999997</v>
      </c>
      <c r="AM283" s="12">
        <f>13333.33+18208.33</f>
        <v>31541.660000000003</v>
      </c>
      <c r="AN283" s="12">
        <f>13333.33+18208.33</f>
        <v>31541.660000000003</v>
      </c>
      <c r="AO283" s="12">
        <f>13333.33+18208.33</f>
        <v>31541.660000000003</v>
      </c>
      <c r="AP283" s="12">
        <f>13333.33+18208.33</f>
        <v>31541.660000000003</v>
      </c>
      <c r="AQ283" s="3">
        <f>SUM(AE283:AP283)</f>
        <v>379299.96000000008</v>
      </c>
      <c r="AR283" s="3">
        <f>13333.33+18208.33</f>
        <v>31541.660000000003</v>
      </c>
      <c r="AS283" s="3">
        <f>13333.33+18208.35</f>
        <v>31541.68</v>
      </c>
      <c r="AT283" s="3">
        <f>13333.33+18208.33</f>
        <v>31541.660000000003</v>
      </c>
      <c r="AU283" s="3">
        <f>13333.33+18208.33</f>
        <v>31541.660000000003</v>
      </c>
      <c r="AV283" s="3">
        <f>13333.33+18208.33</f>
        <v>31541.660000000003</v>
      </c>
      <c r="AW283" s="3">
        <f>13333.33+18208.33</f>
        <v>31541.660000000003</v>
      </c>
      <c r="AX283" s="3">
        <f>13333.33+18208.33</f>
        <v>31541.660000000003</v>
      </c>
      <c r="AY283" s="3">
        <f>13333.37+18208.35</f>
        <v>31541.72</v>
      </c>
      <c r="AZ283" s="3">
        <f>14166.67+17675</f>
        <v>31841.67</v>
      </c>
      <c r="BA283" s="3">
        <f>14166.67+17675</f>
        <v>31841.67</v>
      </c>
      <c r="BB283" s="3">
        <f>14166.67+17675</f>
        <v>31841.67</v>
      </c>
      <c r="BC283" s="3">
        <f>14166.67+17675</f>
        <v>31841.67</v>
      </c>
      <c r="BD283" s="3">
        <f>SUM(AR283:BC283)</f>
        <v>379700.04</v>
      </c>
    </row>
    <row r="284" spans="1:56" ht="13.5" thickBot="1" x14ac:dyDescent="0.35">
      <c r="D284" s="13" t="s">
        <v>138</v>
      </c>
      <c r="E284" s="14">
        <f t="shared" ref="E284:P284" si="258">SUM(E281:E283)</f>
        <v>32505.83</v>
      </c>
      <c r="F284" s="14">
        <f t="shared" si="258"/>
        <v>32255.85</v>
      </c>
      <c r="G284" s="14">
        <f t="shared" si="258"/>
        <v>32255.83</v>
      </c>
      <c r="H284" s="14">
        <f t="shared" si="258"/>
        <v>32255.83</v>
      </c>
      <c r="I284" s="14">
        <f t="shared" si="258"/>
        <v>32255.83</v>
      </c>
      <c r="J284" s="14">
        <f t="shared" si="258"/>
        <v>32255.83</v>
      </c>
      <c r="K284" s="14">
        <f t="shared" si="258"/>
        <v>32255.83</v>
      </c>
      <c r="L284" s="14">
        <f t="shared" si="258"/>
        <v>32243.800000000003</v>
      </c>
      <c r="M284" s="14">
        <f t="shared" si="258"/>
        <v>32177.08</v>
      </c>
      <c r="N284" s="14">
        <f t="shared" si="258"/>
        <v>32177.08</v>
      </c>
      <c r="O284" s="14">
        <f t="shared" si="258"/>
        <v>32177.08</v>
      </c>
      <c r="P284" s="14">
        <f t="shared" si="258"/>
        <v>32177.08</v>
      </c>
      <c r="Q284" s="14">
        <f>SUM(Q281:Q283)</f>
        <v>386992.95</v>
      </c>
      <c r="R284" s="14">
        <f t="shared" ref="R284:AC284" si="259">SUM(R281:R283)</f>
        <v>32427.08</v>
      </c>
      <c r="S284" s="14">
        <f t="shared" si="259"/>
        <v>32177.08</v>
      </c>
      <c r="T284" s="14">
        <f t="shared" si="259"/>
        <v>32177.08</v>
      </c>
      <c r="U284" s="14">
        <f t="shared" si="259"/>
        <v>32177.08</v>
      </c>
      <c r="V284" s="14">
        <f t="shared" si="259"/>
        <v>32177.08</v>
      </c>
      <c r="W284" s="14">
        <f t="shared" si="259"/>
        <v>32177.08</v>
      </c>
      <c r="X284" s="14">
        <f t="shared" si="259"/>
        <v>32177.08</v>
      </c>
      <c r="Y284" s="14">
        <f t="shared" si="259"/>
        <v>32164.58</v>
      </c>
      <c r="Z284" s="14">
        <f t="shared" si="259"/>
        <v>32081.25</v>
      </c>
      <c r="AA284" s="14">
        <f t="shared" si="259"/>
        <v>32081.25</v>
      </c>
      <c r="AB284" s="14">
        <f t="shared" si="259"/>
        <v>32081.25</v>
      </c>
      <c r="AC284" s="14">
        <f t="shared" si="259"/>
        <v>32081.25</v>
      </c>
      <c r="AD284" s="14">
        <f>SUM(AD281:AD283)</f>
        <v>385979.13999999996</v>
      </c>
      <c r="AE284" s="14">
        <f>SUM(AE281:AE283)</f>
        <v>32331.25</v>
      </c>
      <c r="AF284" s="14">
        <f>SUM(AF281:AF283)</f>
        <v>32081.25</v>
      </c>
      <c r="AG284" s="14">
        <f t="shared" ref="AG284:AP284" si="260">SUM(AG281:AG283)</f>
        <v>32081.25</v>
      </c>
      <c r="AH284" s="14">
        <f t="shared" si="260"/>
        <v>32081.25</v>
      </c>
      <c r="AI284" s="14">
        <f t="shared" si="260"/>
        <v>32081.25</v>
      </c>
      <c r="AJ284" s="14">
        <f t="shared" si="260"/>
        <v>32081.25</v>
      </c>
      <c r="AK284" s="14">
        <f t="shared" si="260"/>
        <v>32081.25</v>
      </c>
      <c r="AL284" s="14">
        <f t="shared" si="260"/>
        <v>32068.299999999996</v>
      </c>
      <c r="AM284" s="14">
        <f t="shared" si="260"/>
        <v>31968.33</v>
      </c>
      <c r="AN284" s="14">
        <f t="shared" si="260"/>
        <v>31968.33</v>
      </c>
      <c r="AO284" s="14">
        <f t="shared" si="260"/>
        <v>31968.33</v>
      </c>
      <c r="AP284" s="14">
        <f t="shared" si="260"/>
        <v>31968.33</v>
      </c>
      <c r="AQ284" s="22">
        <f>SUM(AQ281:AQ283)</f>
        <v>384760.37000000005</v>
      </c>
      <c r="AR284" s="22">
        <f t="shared" ref="AR284:BD284" si="261">SUM(AR281:AR283)</f>
        <v>32218.33</v>
      </c>
      <c r="AS284" s="22">
        <f t="shared" si="261"/>
        <v>31968.35</v>
      </c>
      <c r="AT284" s="22">
        <f t="shared" si="261"/>
        <v>31968.33</v>
      </c>
      <c r="AU284" s="22">
        <f t="shared" si="261"/>
        <v>31968.33</v>
      </c>
      <c r="AV284" s="22">
        <f t="shared" si="261"/>
        <v>31968.33</v>
      </c>
      <c r="AW284" s="22">
        <f t="shared" si="261"/>
        <v>31968.33</v>
      </c>
      <c r="AX284" s="22">
        <f t="shared" si="261"/>
        <v>31968.33</v>
      </c>
      <c r="AY284" s="22">
        <f t="shared" si="261"/>
        <v>31955.050000000003</v>
      </c>
      <c r="AZ284" s="22">
        <f t="shared" si="261"/>
        <v>32255</v>
      </c>
      <c r="BA284" s="22">
        <f t="shared" si="261"/>
        <v>32255</v>
      </c>
      <c r="BB284" s="22">
        <f t="shared" si="261"/>
        <v>32255</v>
      </c>
      <c r="BC284" s="22">
        <f t="shared" si="261"/>
        <v>32255</v>
      </c>
      <c r="BD284" s="22">
        <f t="shared" si="261"/>
        <v>385003.38</v>
      </c>
    </row>
    <row r="285" spans="1:56" x14ac:dyDescent="0.3">
      <c r="D285" s="15"/>
    </row>
    <row r="286" spans="1:56" ht="15.5" x14ac:dyDescent="0.35">
      <c r="B286" s="1">
        <f>B280+1</f>
        <v>35</v>
      </c>
      <c r="C286" s="24" t="s">
        <v>14</v>
      </c>
      <c r="D286" s="25" t="s">
        <v>139</v>
      </c>
    </row>
    <row r="287" spans="1:56" x14ac:dyDescent="0.3">
      <c r="D287" s="8" t="s">
        <v>8</v>
      </c>
      <c r="E287" s="11">
        <v>961.67</v>
      </c>
      <c r="F287" s="11">
        <v>961.67</v>
      </c>
      <c r="G287" s="11">
        <v>961.67</v>
      </c>
      <c r="H287" s="11">
        <v>961.67</v>
      </c>
      <c r="I287" s="11">
        <v>961.67</v>
      </c>
      <c r="J287" s="11">
        <v>961.67</v>
      </c>
      <c r="K287" s="11">
        <v>961.67</v>
      </c>
      <c r="L287" s="11">
        <v>950</v>
      </c>
      <c r="M287" s="11">
        <v>950</v>
      </c>
      <c r="N287" s="11">
        <v>950</v>
      </c>
      <c r="O287" s="11">
        <v>950</v>
      </c>
      <c r="P287" s="11">
        <v>926.25</v>
      </c>
      <c r="Q287" s="12">
        <f>SUM(E287:P287)</f>
        <v>11457.939999999999</v>
      </c>
      <c r="R287" s="11">
        <v>926.25</v>
      </c>
      <c r="S287" s="11">
        <v>926.25</v>
      </c>
      <c r="T287" s="11">
        <v>926.25</v>
      </c>
      <c r="U287" s="11">
        <v>926.25</v>
      </c>
      <c r="V287" s="11">
        <v>926.25</v>
      </c>
      <c r="W287" s="11">
        <v>926.25</v>
      </c>
      <c r="X287" s="11">
        <v>926.25</v>
      </c>
      <c r="Y287" s="11">
        <v>914.17</v>
      </c>
      <c r="Z287" s="11">
        <v>914.17</v>
      </c>
      <c r="AA287" s="11">
        <v>914.17</v>
      </c>
      <c r="AB287" s="11">
        <v>914.17</v>
      </c>
      <c r="AC287" s="11">
        <v>890</v>
      </c>
      <c r="AD287" s="12">
        <f>SUM(R287:AC287)</f>
        <v>11030.43</v>
      </c>
      <c r="AE287" s="11">
        <v>890</v>
      </c>
      <c r="AF287" s="11">
        <v>890</v>
      </c>
      <c r="AG287" s="11">
        <v>890</v>
      </c>
      <c r="AH287" s="11">
        <v>890</v>
      </c>
      <c r="AI287" s="11">
        <v>890</v>
      </c>
      <c r="AJ287" s="11">
        <v>890</v>
      </c>
      <c r="AK287" s="11">
        <v>890</v>
      </c>
      <c r="AL287" s="12">
        <v>877.5</v>
      </c>
      <c r="AM287" s="12">
        <v>877.5</v>
      </c>
      <c r="AN287" s="12">
        <v>877.5</v>
      </c>
      <c r="AO287" s="12">
        <v>877.5</v>
      </c>
      <c r="AP287" s="12">
        <v>852.92</v>
      </c>
      <c r="AQ287" s="3">
        <f>SUM(AE287:AP287)</f>
        <v>10592.92</v>
      </c>
      <c r="AR287" s="3">
        <v>852.92</v>
      </c>
      <c r="AS287" s="3">
        <v>852.92</v>
      </c>
      <c r="AT287" s="3">
        <v>852.92</v>
      </c>
      <c r="AU287" s="3">
        <v>852.92</v>
      </c>
      <c r="AV287" s="3">
        <v>852.92</v>
      </c>
      <c r="AW287" s="3">
        <v>852.92</v>
      </c>
      <c r="AX287" s="3">
        <v>852.92</v>
      </c>
      <c r="AY287" s="3">
        <v>840</v>
      </c>
      <c r="AZ287" s="3">
        <v>840</v>
      </c>
      <c r="BA287" s="3">
        <v>840</v>
      </c>
      <c r="BB287" s="3">
        <v>840</v>
      </c>
      <c r="BC287" s="3">
        <v>814.58</v>
      </c>
      <c r="BD287" s="3">
        <f>SUM(AR287:BC287)</f>
        <v>10145.019999999999</v>
      </c>
    </row>
    <row r="288" spans="1:56" x14ac:dyDescent="0.3">
      <c r="D288" s="8" t="s">
        <v>9</v>
      </c>
      <c r="E288" s="11">
        <v>250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2">
        <f>SUM(E288:P288)</f>
        <v>250</v>
      </c>
      <c r="R288" s="11">
        <v>250</v>
      </c>
      <c r="AD288" s="12">
        <f>SUM(R288:AC288)</f>
        <v>250</v>
      </c>
      <c r="AE288" s="11">
        <v>250</v>
      </c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3">
        <f>SUM(AE288:AP288)</f>
        <v>250</v>
      </c>
      <c r="AR288" s="3">
        <v>250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f>SUM(AR288:BC288)</f>
        <v>250</v>
      </c>
    </row>
    <row r="289" spans="1:56" ht="13.5" thickBot="1" x14ac:dyDescent="0.35">
      <c r="A289" t="s">
        <v>140</v>
      </c>
      <c r="D289" s="8" t="s">
        <v>10</v>
      </c>
      <c r="E289" s="11">
        <f>35416.67+39221.88</f>
        <v>74638.549999999988</v>
      </c>
      <c r="F289" s="11">
        <f>35416.67+39221.88</f>
        <v>74638.549999999988</v>
      </c>
      <c r="G289" s="11">
        <f>35416.67+39221.88</f>
        <v>74638.549999999988</v>
      </c>
      <c r="H289" s="11">
        <f>35416.63+39221.85</f>
        <v>74638.48</v>
      </c>
      <c r="I289" s="11">
        <f>36250+38220.83</f>
        <v>74470.83</v>
      </c>
      <c r="J289" s="11">
        <f t="shared" ref="J289:T289" si="262">36250+38220.83</f>
        <v>74470.83</v>
      </c>
      <c r="K289" s="11">
        <f t="shared" si="262"/>
        <v>74470.83</v>
      </c>
      <c r="L289" s="11">
        <f t="shared" si="262"/>
        <v>74470.83</v>
      </c>
      <c r="M289" s="11">
        <f t="shared" si="262"/>
        <v>74470.83</v>
      </c>
      <c r="N289" s="11">
        <f>36250+38220.85</f>
        <v>74470.850000000006</v>
      </c>
      <c r="O289" s="11">
        <f t="shared" si="262"/>
        <v>74470.83</v>
      </c>
      <c r="P289" s="11">
        <f t="shared" si="262"/>
        <v>74470.83</v>
      </c>
      <c r="Q289" s="12">
        <f>SUM(E289:P289)</f>
        <v>894320.7899999998</v>
      </c>
      <c r="R289" s="11">
        <f t="shared" si="262"/>
        <v>74470.83</v>
      </c>
      <c r="S289" s="11">
        <f t="shared" si="262"/>
        <v>74470.83</v>
      </c>
      <c r="T289" s="11">
        <f t="shared" si="262"/>
        <v>74470.83</v>
      </c>
      <c r="U289" s="11">
        <f>36250+38220.85</f>
        <v>74470.850000000006</v>
      </c>
      <c r="V289" s="11">
        <f>37083.33+37133.33</f>
        <v>74216.66</v>
      </c>
      <c r="W289" s="11">
        <f t="shared" ref="W289:AG289" si="263">37083.33+37133.33</f>
        <v>74216.66</v>
      </c>
      <c r="X289" s="11">
        <f t="shared" si="263"/>
        <v>74216.66</v>
      </c>
      <c r="Y289" s="11">
        <f t="shared" si="263"/>
        <v>74216.66</v>
      </c>
      <c r="Z289" s="11">
        <f t="shared" si="263"/>
        <v>74216.66</v>
      </c>
      <c r="AA289" s="11">
        <f>37083.33+37133.35</f>
        <v>74216.679999999993</v>
      </c>
      <c r="AB289" s="11">
        <f t="shared" si="263"/>
        <v>74216.66</v>
      </c>
      <c r="AC289" s="11">
        <f t="shared" si="263"/>
        <v>74216.66</v>
      </c>
      <c r="AD289" s="12">
        <f>SUM(R289:AC289)</f>
        <v>891616.64000000013</v>
      </c>
      <c r="AE289" s="11">
        <f t="shared" si="263"/>
        <v>74216.66</v>
      </c>
      <c r="AF289" s="11">
        <f t="shared" si="263"/>
        <v>74216.66</v>
      </c>
      <c r="AG289" s="11">
        <f t="shared" si="263"/>
        <v>74216.66</v>
      </c>
      <c r="AH289" s="11">
        <f>37083.37+37133.35</f>
        <v>74216.72</v>
      </c>
      <c r="AI289" s="12">
        <f>38333.33+35957.29</f>
        <v>74290.62</v>
      </c>
      <c r="AJ289" s="12">
        <f t="shared" ref="AJ289:AP289" si="264">38333.33+35957.29</f>
        <v>74290.62</v>
      </c>
      <c r="AK289" s="12">
        <f t="shared" si="264"/>
        <v>74290.62</v>
      </c>
      <c r="AL289" s="12">
        <f t="shared" si="264"/>
        <v>74290.62</v>
      </c>
      <c r="AM289" s="12">
        <f t="shared" si="264"/>
        <v>74290.62</v>
      </c>
      <c r="AN289" s="12">
        <f>38333.33+35957.3</f>
        <v>74290.63</v>
      </c>
      <c r="AO289" s="12">
        <f t="shared" si="264"/>
        <v>74290.62</v>
      </c>
      <c r="AP289" s="12">
        <f t="shared" si="264"/>
        <v>74290.62</v>
      </c>
      <c r="AQ289" s="3">
        <f>SUM(AE289:AP289)</f>
        <v>891191.66999999993</v>
      </c>
      <c r="AR289" s="3">
        <f>38333.33+35957.29</f>
        <v>74290.62</v>
      </c>
      <c r="AS289" s="3">
        <f>38333.33+35957.29</f>
        <v>74290.62</v>
      </c>
      <c r="AT289" s="3">
        <f>38333.33+35957.29</f>
        <v>74290.62</v>
      </c>
      <c r="AU289" s="3">
        <f>38333.37+35957.3</f>
        <v>74290.670000000013</v>
      </c>
      <c r="AV289" s="3">
        <f>40000+34678.13</f>
        <v>74678.13</v>
      </c>
      <c r="AW289" s="3">
        <f>40000+34678.13</f>
        <v>74678.13</v>
      </c>
      <c r="AX289" s="3">
        <f>40000+34678.13</f>
        <v>74678.13</v>
      </c>
      <c r="AY289" s="3">
        <f>40000+34678.13</f>
        <v>74678.13</v>
      </c>
      <c r="AZ289" s="3">
        <f>40000+34678.13</f>
        <v>74678.13</v>
      </c>
      <c r="BA289" s="3">
        <f>40000+34678.1</f>
        <v>74678.100000000006</v>
      </c>
      <c r="BB289" s="3">
        <f>40000+34678.13</f>
        <v>74678.13</v>
      </c>
      <c r="BC289" s="3">
        <f>40000+34678.13</f>
        <v>74678.13</v>
      </c>
      <c r="BD289" s="3">
        <f>SUM(AR289:BC289)</f>
        <v>894587.54</v>
      </c>
    </row>
    <row r="290" spans="1:56" ht="13.5" thickBot="1" x14ac:dyDescent="0.35">
      <c r="D290" s="13" t="s">
        <v>141</v>
      </c>
      <c r="E290" s="14">
        <f t="shared" ref="E290:P290" si="265">SUM(E287:E289)</f>
        <v>75850.219999999987</v>
      </c>
      <c r="F290" s="14">
        <f t="shared" si="265"/>
        <v>75600.219999999987</v>
      </c>
      <c r="G290" s="14">
        <f t="shared" si="265"/>
        <v>75600.219999999987</v>
      </c>
      <c r="H290" s="14">
        <f t="shared" si="265"/>
        <v>75600.149999999994</v>
      </c>
      <c r="I290" s="14">
        <f t="shared" si="265"/>
        <v>75432.5</v>
      </c>
      <c r="J290" s="14">
        <f t="shared" si="265"/>
        <v>75432.5</v>
      </c>
      <c r="K290" s="14">
        <f t="shared" si="265"/>
        <v>75432.5</v>
      </c>
      <c r="L290" s="14">
        <f t="shared" si="265"/>
        <v>75420.83</v>
      </c>
      <c r="M290" s="14">
        <f t="shared" si="265"/>
        <v>75420.83</v>
      </c>
      <c r="N290" s="14">
        <f t="shared" si="265"/>
        <v>75420.850000000006</v>
      </c>
      <c r="O290" s="14">
        <f t="shared" si="265"/>
        <v>75420.83</v>
      </c>
      <c r="P290" s="14">
        <f t="shared" si="265"/>
        <v>75397.08</v>
      </c>
      <c r="Q290" s="14">
        <f>SUM(Q287:Q289)</f>
        <v>906028.72999999975</v>
      </c>
      <c r="R290" s="14">
        <f t="shared" ref="R290:AC290" si="266">SUM(R287:R289)</f>
        <v>75647.08</v>
      </c>
      <c r="S290" s="14">
        <f t="shared" si="266"/>
        <v>75397.08</v>
      </c>
      <c r="T290" s="14">
        <f t="shared" si="266"/>
        <v>75397.08</v>
      </c>
      <c r="U290" s="14">
        <f t="shared" si="266"/>
        <v>75397.100000000006</v>
      </c>
      <c r="V290" s="14">
        <f t="shared" si="266"/>
        <v>75142.91</v>
      </c>
      <c r="W290" s="14">
        <f t="shared" si="266"/>
        <v>75142.91</v>
      </c>
      <c r="X290" s="14">
        <f t="shared" si="266"/>
        <v>75142.91</v>
      </c>
      <c r="Y290" s="14">
        <f t="shared" si="266"/>
        <v>75130.83</v>
      </c>
      <c r="Z290" s="14">
        <f t="shared" si="266"/>
        <v>75130.83</v>
      </c>
      <c r="AA290" s="14">
        <f t="shared" si="266"/>
        <v>75130.849999999991</v>
      </c>
      <c r="AB290" s="14">
        <f t="shared" si="266"/>
        <v>75130.83</v>
      </c>
      <c r="AC290" s="14">
        <f t="shared" si="266"/>
        <v>75106.66</v>
      </c>
      <c r="AD290" s="14">
        <f>SUM(AD287:AD289)</f>
        <v>902897.07000000018</v>
      </c>
      <c r="AE290" s="14">
        <f>SUM(AE287:AE289)</f>
        <v>75356.66</v>
      </c>
      <c r="AF290" s="14">
        <f>SUM(AF287:AF289)</f>
        <v>75106.66</v>
      </c>
      <c r="AG290" s="14">
        <f t="shared" ref="AG290:AP290" si="267">SUM(AG287:AG289)</f>
        <v>75106.66</v>
      </c>
      <c r="AH290" s="14">
        <f t="shared" si="267"/>
        <v>75106.720000000001</v>
      </c>
      <c r="AI290" s="14">
        <f t="shared" si="267"/>
        <v>75180.62</v>
      </c>
      <c r="AJ290" s="14">
        <f t="shared" si="267"/>
        <v>75180.62</v>
      </c>
      <c r="AK290" s="14">
        <f t="shared" si="267"/>
        <v>75180.62</v>
      </c>
      <c r="AL290" s="14">
        <f t="shared" si="267"/>
        <v>75168.12</v>
      </c>
      <c r="AM290" s="14">
        <f t="shared" si="267"/>
        <v>75168.12</v>
      </c>
      <c r="AN290" s="14">
        <f t="shared" si="267"/>
        <v>75168.13</v>
      </c>
      <c r="AO290" s="14">
        <f t="shared" si="267"/>
        <v>75168.12</v>
      </c>
      <c r="AP290" s="14">
        <f t="shared" si="267"/>
        <v>75143.539999999994</v>
      </c>
      <c r="AQ290" s="22">
        <f>SUM(AQ287:AQ289)</f>
        <v>902034.59</v>
      </c>
      <c r="AR290" s="22">
        <f t="shared" ref="AR290:BD290" si="268">SUM(AR287:AR289)</f>
        <v>75393.539999999994</v>
      </c>
      <c r="AS290" s="22">
        <f t="shared" si="268"/>
        <v>75143.539999999994</v>
      </c>
      <c r="AT290" s="22">
        <f t="shared" si="268"/>
        <v>75143.539999999994</v>
      </c>
      <c r="AU290" s="22">
        <f t="shared" si="268"/>
        <v>75143.590000000011</v>
      </c>
      <c r="AV290" s="22">
        <f t="shared" si="268"/>
        <v>75531.05</v>
      </c>
      <c r="AW290" s="22">
        <f t="shared" si="268"/>
        <v>75531.05</v>
      </c>
      <c r="AX290" s="22">
        <f t="shared" si="268"/>
        <v>75531.05</v>
      </c>
      <c r="AY290" s="22">
        <f t="shared" si="268"/>
        <v>75518.13</v>
      </c>
      <c r="AZ290" s="22">
        <f t="shared" si="268"/>
        <v>75518.13</v>
      </c>
      <c r="BA290" s="22">
        <f t="shared" si="268"/>
        <v>75518.100000000006</v>
      </c>
      <c r="BB290" s="22">
        <f t="shared" si="268"/>
        <v>75518.13</v>
      </c>
      <c r="BC290" s="22">
        <f t="shared" si="268"/>
        <v>75492.710000000006</v>
      </c>
      <c r="BD290" s="22">
        <f t="shared" si="268"/>
        <v>904982.56</v>
      </c>
    </row>
    <row r="291" spans="1:56" x14ac:dyDescent="0.3">
      <c r="D291" s="15"/>
    </row>
    <row r="292" spans="1:56" ht="15.5" x14ac:dyDescent="0.35">
      <c r="C292" s="30" t="s">
        <v>6</v>
      </c>
      <c r="D292" s="10" t="s">
        <v>142</v>
      </c>
      <c r="F292" s="11"/>
    </row>
    <row r="293" spans="1:56" x14ac:dyDescent="0.3">
      <c r="D293" s="8" t="s">
        <v>8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f>SUM(E293:P293)</f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f>SUM(R293:AC293)</f>
        <v>0</v>
      </c>
    </row>
    <row r="294" spans="1:56" x14ac:dyDescent="0.3">
      <c r="D294" s="8" t="s">
        <v>9</v>
      </c>
      <c r="E294" s="11">
        <v>250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2">
        <f>SUM(E294:P294)</f>
        <v>250</v>
      </c>
      <c r="R294" s="11">
        <v>250</v>
      </c>
      <c r="AD294" s="12">
        <f>SUM(R294:AC294)</f>
        <v>250</v>
      </c>
    </row>
    <row r="295" spans="1:56" ht="13.5" thickBot="1" x14ac:dyDescent="0.35">
      <c r="A295" t="s">
        <v>143</v>
      </c>
      <c r="D295" s="8" t="s">
        <v>10</v>
      </c>
      <c r="E295" s="11">
        <v>55022.92</v>
      </c>
      <c r="F295" s="11">
        <v>55022.92</v>
      </c>
      <c r="G295" s="11">
        <v>55022.92</v>
      </c>
      <c r="H295" s="11">
        <v>55022.92</v>
      </c>
      <c r="I295" s="11">
        <v>55022.92</v>
      </c>
      <c r="J295" s="11">
        <v>55022.92</v>
      </c>
      <c r="K295" s="11">
        <v>55022.92</v>
      </c>
      <c r="L295" s="11">
        <v>55022.92</v>
      </c>
      <c r="M295" s="11">
        <v>55022.92</v>
      </c>
      <c r="N295" s="11">
        <v>55022.92</v>
      </c>
      <c r="O295" s="11">
        <v>55022.92</v>
      </c>
      <c r="P295" s="11">
        <v>55022.92</v>
      </c>
      <c r="Q295" s="12">
        <f>SUM(E295:P295)</f>
        <v>660275.04</v>
      </c>
      <c r="R295" s="11">
        <v>55022.92</v>
      </c>
      <c r="S295" s="11">
        <v>55022.92</v>
      </c>
      <c r="T295" s="11">
        <v>55022.92</v>
      </c>
      <c r="U295" s="11">
        <v>55022.92</v>
      </c>
      <c r="V295" s="11">
        <v>55022.92</v>
      </c>
      <c r="W295" s="11">
        <v>55022.92</v>
      </c>
      <c r="X295" s="11">
        <v>55022.92</v>
      </c>
      <c r="Y295" s="11">
        <v>55022.92</v>
      </c>
      <c r="Z295" s="11">
        <v>55022.92</v>
      </c>
      <c r="AA295" s="11">
        <v>55022.92</v>
      </c>
      <c r="AB295" s="11">
        <v>55022.92</v>
      </c>
      <c r="AC295" s="11">
        <v>0</v>
      </c>
      <c r="AD295" s="12">
        <f>SUM(R295:AC295)</f>
        <v>605252.12</v>
      </c>
    </row>
    <row r="296" spans="1:56" ht="13.5" thickBot="1" x14ac:dyDescent="0.35">
      <c r="D296" s="13" t="s">
        <v>144</v>
      </c>
      <c r="E296" s="14">
        <f t="shared" ref="E296:P296" si="269">SUM(E293:E295)</f>
        <v>55272.92</v>
      </c>
      <c r="F296" s="14">
        <f t="shared" si="269"/>
        <v>55022.92</v>
      </c>
      <c r="G296" s="14">
        <f t="shared" si="269"/>
        <v>55022.92</v>
      </c>
      <c r="H296" s="14">
        <f t="shared" si="269"/>
        <v>55022.92</v>
      </c>
      <c r="I296" s="14">
        <f t="shared" si="269"/>
        <v>55022.92</v>
      </c>
      <c r="J296" s="14">
        <f t="shared" si="269"/>
        <v>55022.92</v>
      </c>
      <c r="K296" s="14">
        <f t="shared" si="269"/>
        <v>55022.92</v>
      </c>
      <c r="L296" s="14">
        <f t="shared" si="269"/>
        <v>55022.92</v>
      </c>
      <c r="M296" s="14">
        <f t="shared" si="269"/>
        <v>55022.92</v>
      </c>
      <c r="N296" s="14">
        <f t="shared" si="269"/>
        <v>55022.92</v>
      </c>
      <c r="O296" s="14">
        <f t="shared" si="269"/>
        <v>55022.92</v>
      </c>
      <c r="P296" s="14">
        <f t="shared" si="269"/>
        <v>55022.92</v>
      </c>
      <c r="Q296" s="14">
        <f>SUM(Q293:Q295)</f>
        <v>660525.04</v>
      </c>
      <c r="R296" s="14">
        <f t="shared" ref="R296:AC296" si="270">SUM(R293:R295)</f>
        <v>55272.92</v>
      </c>
      <c r="S296" s="14">
        <f t="shared" si="270"/>
        <v>55022.92</v>
      </c>
      <c r="T296" s="14">
        <f t="shared" si="270"/>
        <v>55022.92</v>
      </c>
      <c r="U296" s="14">
        <f t="shared" si="270"/>
        <v>55022.92</v>
      </c>
      <c r="V296" s="14">
        <f t="shared" si="270"/>
        <v>55022.92</v>
      </c>
      <c r="W296" s="14">
        <f t="shared" si="270"/>
        <v>55022.92</v>
      </c>
      <c r="X296" s="14">
        <f t="shared" si="270"/>
        <v>55022.92</v>
      </c>
      <c r="Y296" s="14">
        <f t="shared" si="270"/>
        <v>55022.92</v>
      </c>
      <c r="Z296" s="14">
        <f t="shared" si="270"/>
        <v>55022.92</v>
      </c>
      <c r="AA296" s="14">
        <f t="shared" si="270"/>
        <v>55022.92</v>
      </c>
      <c r="AB296" s="14">
        <f t="shared" si="270"/>
        <v>55022.92</v>
      </c>
      <c r="AC296" s="14">
        <f t="shared" si="270"/>
        <v>0</v>
      </c>
      <c r="AD296" s="14">
        <f>SUM(AD293:AD295)</f>
        <v>605502.12</v>
      </c>
    </row>
    <row r="297" spans="1:56" x14ac:dyDescent="0.3">
      <c r="D297" s="15"/>
    </row>
    <row r="298" spans="1:56" ht="15.5" x14ac:dyDescent="0.35">
      <c r="C298" s="30" t="s">
        <v>6</v>
      </c>
      <c r="D298" s="10" t="s">
        <v>145</v>
      </c>
    </row>
    <row r="299" spans="1:56" x14ac:dyDescent="0.3">
      <c r="D299" s="8" t="s">
        <v>8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f>SUM(E299:P299)</f>
        <v>0</v>
      </c>
    </row>
    <row r="300" spans="1:56" x14ac:dyDescent="0.3">
      <c r="D300" s="8" t="s">
        <v>9</v>
      </c>
      <c r="E300" s="11">
        <v>250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2">
        <f>SUM(E300:P300)</f>
        <v>250</v>
      </c>
    </row>
    <row r="301" spans="1:56" ht="13.5" thickBot="1" x14ac:dyDescent="0.35">
      <c r="A301" t="s">
        <v>146</v>
      </c>
      <c r="D301" s="8" t="s">
        <v>10</v>
      </c>
      <c r="E301" s="11">
        <f>14100.66+15444.12</f>
        <v>29544.78</v>
      </c>
      <c r="F301" s="11">
        <f>14100.66+15401.87</f>
        <v>29502.53</v>
      </c>
      <c r="G301" s="11">
        <f>14100.66+14864.14</f>
        <v>28964.799999999999</v>
      </c>
      <c r="H301" s="11">
        <f>14100.66+15317.36</f>
        <v>29418.02</v>
      </c>
      <c r="I301" s="11">
        <f>14100.66+14782.36</f>
        <v>28883.02</v>
      </c>
      <c r="J301" s="11">
        <f>14100.66+15232.85</f>
        <v>29333.510000000002</v>
      </c>
      <c r="K301" s="11">
        <f>14100.66+15190.59</f>
        <v>29291.25</v>
      </c>
      <c r="L301" s="11">
        <f>14100.66+13682.37</f>
        <v>27783.03</v>
      </c>
      <c r="M301" s="11">
        <f>14100.66+15106.08</f>
        <v>29206.739999999998</v>
      </c>
      <c r="N301" s="11">
        <f>14100.66+14577.9</f>
        <v>28678.559999999998</v>
      </c>
      <c r="O301" s="11">
        <f>14100.72+15021.57</f>
        <v>29122.29</v>
      </c>
      <c r="P301" s="11">
        <f>14606.34+14496.11</f>
        <v>29102.45</v>
      </c>
      <c r="Q301" s="12">
        <f>SUM(E301:P301)</f>
        <v>348830.98</v>
      </c>
    </row>
    <row r="302" spans="1:56" ht="13.5" thickBot="1" x14ac:dyDescent="0.35">
      <c r="D302" s="13" t="s">
        <v>147</v>
      </c>
      <c r="E302" s="14">
        <f t="shared" ref="E302:P302" si="271">SUM(E299:E301)</f>
        <v>29794.78</v>
      </c>
      <c r="F302" s="14">
        <f t="shared" si="271"/>
        <v>29502.53</v>
      </c>
      <c r="G302" s="14">
        <f t="shared" si="271"/>
        <v>28964.799999999999</v>
      </c>
      <c r="H302" s="14">
        <f t="shared" si="271"/>
        <v>29418.02</v>
      </c>
      <c r="I302" s="14">
        <f t="shared" si="271"/>
        <v>28883.02</v>
      </c>
      <c r="J302" s="14">
        <f t="shared" si="271"/>
        <v>29333.510000000002</v>
      </c>
      <c r="K302" s="14">
        <f t="shared" si="271"/>
        <v>29291.25</v>
      </c>
      <c r="L302" s="14">
        <f t="shared" si="271"/>
        <v>27783.03</v>
      </c>
      <c r="M302" s="14">
        <f t="shared" si="271"/>
        <v>29206.739999999998</v>
      </c>
      <c r="N302" s="14">
        <f t="shared" si="271"/>
        <v>28678.559999999998</v>
      </c>
      <c r="O302" s="14">
        <f t="shared" si="271"/>
        <v>29122.29</v>
      </c>
      <c r="P302" s="14">
        <f t="shared" si="271"/>
        <v>29102.45</v>
      </c>
      <c r="Q302" s="14">
        <f>SUM(Q299:Q301)</f>
        <v>349080.98</v>
      </c>
    </row>
    <row r="303" spans="1:56" x14ac:dyDescent="0.3">
      <c r="D303" s="15"/>
    </row>
    <row r="304" spans="1:56" ht="15.5" x14ac:dyDescent="0.35">
      <c r="B304" s="1">
        <f>B286+1</f>
        <v>36</v>
      </c>
      <c r="C304" s="24" t="s">
        <v>14</v>
      </c>
      <c r="D304" s="25" t="s">
        <v>148</v>
      </c>
    </row>
    <row r="305" spans="1:56" x14ac:dyDescent="0.3">
      <c r="D305" s="8" t="s">
        <v>8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f>SUM(E305:P305)</f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f>SUM(R305:AC305)</f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0</v>
      </c>
      <c r="AQ305" s="3">
        <f>SUM(AE305:AP305)</f>
        <v>0</v>
      </c>
      <c r="BD305" s="3">
        <f>SUM(AR305:BC305)</f>
        <v>0</v>
      </c>
    </row>
    <row r="306" spans="1:56" x14ac:dyDescent="0.3">
      <c r="D306" s="8" t="s">
        <v>9</v>
      </c>
      <c r="E306" s="11">
        <v>250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2">
        <f>SUM(E306:P306)</f>
        <v>250</v>
      </c>
      <c r="R306" s="11">
        <v>250</v>
      </c>
      <c r="AD306" s="12">
        <f>SUM(R306:AC306)</f>
        <v>250</v>
      </c>
      <c r="AE306" s="11">
        <v>250</v>
      </c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3">
        <f>SUM(AE306:AP306)</f>
        <v>250</v>
      </c>
      <c r="BD306" s="3">
        <f>SUM(AR306:BC306)</f>
        <v>0</v>
      </c>
    </row>
    <row r="307" spans="1:56" ht="13.5" thickBot="1" x14ac:dyDescent="0.35">
      <c r="A307" t="s">
        <v>149</v>
      </c>
      <c r="D307" s="8" t="s">
        <v>10</v>
      </c>
      <c r="E307" s="11">
        <v>42453.120000000003</v>
      </c>
      <c r="F307" s="11">
        <v>42453.120000000003</v>
      </c>
      <c r="G307" s="11">
        <v>42453.120000000003</v>
      </c>
      <c r="H307" s="11">
        <v>42453.120000000003</v>
      </c>
      <c r="I307" s="11">
        <v>42453.120000000003</v>
      </c>
      <c r="J307" s="11">
        <v>42453.15</v>
      </c>
      <c r="K307" s="11">
        <v>42453.120000000003</v>
      </c>
      <c r="L307" s="11">
        <v>42453.120000000003</v>
      </c>
      <c r="M307" s="11">
        <v>42453.120000000003</v>
      </c>
      <c r="N307" s="11">
        <v>42453.120000000003</v>
      </c>
      <c r="O307" s="11">
        <v>42453.120000000003</v>
      </c>
      <c r="P307" s="11">
        <v>42453.15</v>
      </c>
      <c r="Q307" s="12">
        <f>SUM(E307:P307)</f>
        <v>509437.5</v>
      </c>
      <c r="R307" s="11">
        <v>42232.28</v>
      </c>
      <c r="S307" s="11">
        <v>42232.28</v>
      </c>
      <c r="T307" s="11">
        <v>42232.28</v>
      </c>
      <c r="U307" s="11">
        <v>42232.28</v>
      </c>
      <c r="V307" s="11">
        <v>42232.28</v>
      </c>
      <c r="W307" s="11">
        <v>42232.31</v>
      </c>
      <c r="X307" s="11">
        <v>42232.28</v>
      </c>
      <c r="Y307" s="11">
        <v>42232.28</v>
      </c>
      <c r="Z307" s="11">
        <v>42232.28</v>
      </c>
      <c r="AA307" s="11">
        <v>42232.28</v>
      </c>
      <c r="AB307" s="11">
        <v>42232.28</v>
      </c>
      <c r="AC307" s="11">
        <v>42232.39</v>
      </c>
      <c r="AD307" s="12">
        <f>SUM(R307:AC307)</f>
        <v>506787.50000000012</v>
      </c>
      <c r="AE307" s="12">
        <v>42561.45</v>
      </c>
      <c r="AF307" s="12">
        <v>42561.45</v>
      </c>
      <c r="AG307" s="12">
        <v>42561.45</v>
      </c>
      <c r="AH307" s="12">
        <v>42561.45</v>
      </c>
      <c r="AI307" s="12">
        <v>42561.45</v>
      </c>
      <c r="AJ307" s="12">
        <v>42561.5</v>
      </c>
      <c r="AK307" s="12">
        <v>42561.45</v>
      </c>
      <c r="AL307" s="12">
        <v>42561.45</v>
      </c>
      <c r="AM307" s="12">
        <v>42561.45</v>
      </c>
      <c r="AN307" s="12">
        <v>42561.45</v>
      </c>
      <c r="AO307" s="12">
        <v>42561.45</v>
      </c>
      <c r="AP307" s="12">
        <v>42561.5</v>
      </c>
      <c r="AQ307" s="3">
        <f>SUM(AE307:AP307)</f>
        <v>510737.50000000006</v>
      </c>
      <c r="BD307" s="3">
        <f>SUM(AR307:BC307)</f>
        <v>0</v>
      </c>
    </row>
    <row r="308" spans="1:56" ht="13.5" thickBot="1" x14ac:dyDescent="0.35">
      <c r="D308" s="13" t="s">
        <v>150</v>
      </c>
      <c r="E308" s="14">
        <f t="shared" ref="E308:P308" si="272">SUM(E305:E307)</f>
        <v>42703.12</v>
      </c>
      <c r="F308" s="14">
        <f t="shared" si="272"/>
        <v>42453.120000000003</v>
      </c>
      <c r="G308" s="14">
        <f t="shared" si="272"/>
        <v>42453.120000000003</v>
      </c>
      <c r="H308" s="14">
        <f t="shared" si="272"/>
        <v>42453.120000000003</v>
      </c>
      <c r="I308" s="14">
        <f t="shared" si="272"/>
        <v>42453.120000000003</v>
      </c>
      <c r="J308" s="14">
        <f t="shared" si="272"/>
        <v>42453.15</v>
      </c>
      <c r="K308" s="14">
        <f t="shared" si="272"/>
        <v>42453.120000000003</v>
      </c>
      <c r="L308" s="14">
        <f t="shared" si="272"/>
        <v>42453.120000000003</v>
      </c>
      <c r="M308" s="14">
        <f t="shared" si="272"/>
        <v>42453.120000000003</v>
      </c>
      <c r="N308" s="14">
        <f t="shared" si="272"/>
        <v>42453.120000000003</v>
      </c>
      <c r="O308" s="14">
        <f t="shared" si="272"/>
        <v>42453.120000000003</v>
      </c>
      <c r="P308" s="14">
        <f t="shared" si="272"/>
        <v>42453.15</v>
      </c>
      <c r="Q308" s="14">
        <f>SUM(Q305:Q307)</f>
        <v>509687.5</v>
      </c>
      <c r="R308" s="14">
        <f t="shared" ref="R308:AC308" si="273">SUM(R305:R307)</f>
        <v>42482.28</v>
      </c>
      <c r="S308" s="14">
        <f t="shared" si="273"/>
        <v>42232.28</v>
      </c>
      <c r="T308" s="14">
        <f t="shared" si="273"/>
        <v>42232.28</v>
      </c>
      <c r="U308" s="14">
        <f t="shared" si="273"/>
        <v>42232.28</v>
      </c>
      <c r="V308" s="14">
        <f t="shared" si="273"/>
        <v>42232.28</v>
      </c>
      <c r="W308" s="14">
        <f t="shared" si="273"/>
        <v>42232.31</v>
      </c>
      <c r="X308" s="14">
        <f t="shared" si="273"/>
        <v>42232.28</v>
      </c>
      <c r="Y308" s="14">
        <f t="shared" si="273"/>
        <v>42232.28</v>
      </c>
      <c r="Z308" s="14">
        <f t="shared" si="273"/>
        <v>42232.28</v>
      </c>
      <c r="AA308" s="14">
        <f t="shared" si="273"/>
        <v>42232.28</v>
      </c>
      <c r="AB308" s="14">
        <f t="shared" si="273"/>
        <v>42232.28</v>
      </c>
      <c r="AC308" s="14">
        <f t="shared" si="273"/>
        <v>42232.39</v>
      </c>
      <c r="AD308" s="14">
        <f>SUM(AD305:AD307)</f>
        <v>507037.50000000012</v>
      </c>
      <c r="AE308" s="14">
        <f>SUM(AE305:AE307)</f>
        <v>42811.45</v>
      </c>
      <c r="AF308" s="14">
        <f>SUM(AF305:AF307)</f>
        <v>42561.45</v>
      </c>
      <c r="AG308" s="14">
        <f t="shared" ref="AG308:AP308" si="274">SUM(AG305:AG307)</f>
        <v>42561.45</v>
      </c>
      <c r="AH308" s="14">
        <f t="shared" si="274"/>
        <v>42561.45</v>
      </c>
      <c r="AI308" s="14">
        <f t="shared" si="274"/>
        <v>42561.45</v>
      </c>
      <c r="AJ308" s="14">
        <f t="shared" si="274"/>
        <v>42561.5</v>
      </c>
      <c r="AK308" s="14">
        <f t="shared" si="274"/>
        <v>42561.45</v>
      </c>
      <c r="AL308" s="14">
        <f t="shared" si="274"/>
        <v>42561.45</v>
      </c>
      <c r="AM308" s="14">
        <f t="shared" si="274"/>
        <v>42561.45</v>
      </c>
      <c r="AN308" s="14">
        <f t="shared" si="274"/>
        <v>42561.45</v>
      </c>
      <c r="AO308" s="14">
        <f t="shared" si="274"/>
        <v>42561.45</v>
      </c>
      <c r="AP308" s="14">
        <f t="shared" si="274"/>
        <v>42561.5</v>
      </c>
      <c r="AQ308" s="22">
        <f>SUM(AQ305:AQ307)</f>
        <v>510987.50000000006</v>
      </c>
      <c r="AR308" s="22">
        <f t="shared" ref="AR308:BD308" si="275">SUM(AR305:AR307)</f>
        <v>0</v>
      </c>
      <c r="AS308" s="22">
        <f t="shared" si="275"/>
        <v>0</v>
      </c>
      <c r="AT308" s="22">
        <f t="shared" si="275"/>
        <v>0</v>
      </c>
      <c r="AU308" s="22">
        <f t="shared" si="275"/>
        <v>0</v>
      </c>
      <c r="AV308" s="22">
        <f t="shared" si="275"/>
        <v>0</v>
      </c>
      <c r="AW308" s="22">
        <f t="shared" si="275"/>
        <v>0</v>
      </c>
      <c r="AX308" s="22">
        <f t="shared" si="275"/>
        <v>0</v>
      </c>
      <c r="AY308" s="22">
        <f t="shared" si="275"/>
        <v>0</v>
      </c>
      <c r="AZ308" s="22">
        <f t="shared" si="275"/>
        <v>0</v>
      </c>
      <c r="BA308" s="22">
        <f t="shared" si="275"/>
        <v>0</v>
      </c>
      <c r="BB308" s="22">
        <f t="shared" si="275"/>
        <v>0</v>
      </c>
      <c r="BC308" s="22">
        <f t="shared" si="275"/>
        <v>0</v>
      </c>
      <c r="BD308" s="22">
        <f t="shared" si="275"/>
        <v>0</v>
      </c>
    </row>
    <row r="309" spans="1:56" x14ac:dyDescent="0.3">
      <c r="D309" s="15"/>
    </row>
    <row r="310" spans="1:56" ht="15.5" x14ac:dyDescent="0.35">
      <c r="B310" s="1">
        <f>B304+1</f>
        <v>37</v>
      </c>
      <c r="C310" s="24" t="s">
        <v>14</v>
      </c>
      <c r="D310" s="25" t="s">
        <v>151</v>
      </c>
    </row>
    <row r="311" spans="1:56" x14ac:dyDescent="0.3">
      <c r="D311" s="8" t="s">
        <v>8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f>SUM(E311:P311)</f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f>SUM(R311:AC311)</f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3">
        <f>SUM(AE311:AP311)</f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f>SUM(AR311:BC311)</f>
        <v>0</v>
      </c>
    </row>
    <row r="312" spans="1:56" x14ac:dyDescent="0.3">
      <c r="D312" s="8" t="s">
        <v>9</v>
      </c>
      <c r="E312" s="11">
        <v>250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2">
        <f>SUM(E312:P312)</f>
        <v>250</v>
      </c>
      <c r="R312" s="11">
        <v>250</v>
      </c>
      <c r="AD312" s="12">
        <f>SUM(R312:AC312)</f>
        <v>250</v>
      </c>
      <c r="AE312" s="11">
        <v>250</v>
      </c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3">
        <f>SUM(AE312:AP312)</f>
        <v>250</v>
      </c>
      <c r="AR312" s="3">
        <v>250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f>SUM(AR312:BC312)</f>
        <v>250</v>
      </c>
    </row>
    <row r="313" spans="1:56" ht="13.5" thickBot="1" x14ac:dyDescent="0.35">
      <c r="A313" t="s">
        <v>152</v>
      </c>
      <c r="D313" s="8" t="s">
        <v>10</v>
      </c>
      <c r="E313" s="12">
        <f>25000+104765.11</f>
        <v>129765.11</v>
      </c>
      <c r="F313" s="12">
        <f>25000+104765.11</f>
        <v>129765.11</v>
      </c>
      <c r="G313" s="12">
        <f>25000+104765.11</f>
        <v>129765.11</v>
      </c>
      <c r="H313" s="11">
        <f>26250+103608.86</f>
        <v>129858.86</v>
      </c>
      <c r="I313" s="11">
        <f>26250+103608.86</f>
        <v>129858.86</v>
      </c>
      <c r="J313" s="11">
        <f t="shared" ref="J313:T313" si="276">26250+103608.86</f>
        <v>129858.86</v>
      </c>
      <c r="K313" s="11">
        <f t="shared" si="276"/>
        <v>129858.86</v>
      </c>
      <c r="L313" s="11">
        <f t="shared" si="276"/>
        <v>129858.86</v>
      </c>
      <c r="M313" s="11">
        <f t="shared" si="276"/>
        <v>129858.86</v>
      </c>
      <c r="N313" s="11">
        <f t="shared" si="276"/>
        <v>129858.86</v>
      </c>
      <c r="O313" s="11">
        <f t="shared" si="276"/>
        <v>129858.86</v>
      </c>
      <c r="P313" s="11">
        <f t="shared" si="276"/>
        <v>129858.86</v>
      </c>
      <c r="Q313" s="12">
        <f>SUM(E313:P313)</f>
        <v>1558025.0700000003</v>
      </c>
      <c r="R313" s="11">
        <f t="shared" si="276"/>
        <v>129858.86</v>
      </c>
      <c r="S313" s="11">
        <f t="shared" si="276"/>
        <v>129858.86</v>
      </c>
      <c r="T313" s="11">
        <f t="shared" si="276"/>
        <v>129858.86</v>
      </c>
      <c r="U313" s="11">
        <f>27083.33+102394.79</f>
        <v>129478.12</v>
      </c>
      <c r="V313" s="11">
        <f t="shared" ref="V313:AG313" si="277">27083.33+102394.79</f>
        <v>129478.12</v>
      </c>
      <c r="W313" s="11">
        <f t="shared" si="277"/>
        <v>129478.12</v>
      </c>
      <c r="X313" s="11">
        <f t="shared" si="277"/>
        <v>129478.12</v>
      </c>
      <c r="Y313" s="11">
        <f t="shared" si="277"/>
        <v>129478.12</v>
      </c>
      <c r="Z313" s="11">
        <f t="shared" si="277"/>
        <v>129478.12</v>
      </c>
      <c r="AA313" s="11">
        <f t="shared" si="277"/>
        <v>129478.12</v>
      </c>
      <c r="AB313" s="11">
        <f t="shared" si="277"/>
        <v>129478.12</v>
      </c>
      <c r="AC313" s="11">
        <f t="shared" si="277"/>
        <v>129478.12</v>
      </c>
      <c r="AD313" s="12">
        <f>SUM(R313:AC313)</f>
        <v>1554879.6600000001</v>
      </c>
      <c r="AE313" s="11">
        <f t="shared" si="277"/>
        <v>129478.12</v>
      </c>
      <c r="AF313" s="11">
        <f t="shared" si="277"/>
        <v>129478.12</v>
      </c>
      <c r="AG313" s="11">
        <f t="shared" si="277"/>
        <v>129478.12</v>
      </c>
      <c r="AH313" s="12">
        <f>28750+101142.19</f>
        <v>129892.19</v>
      </c>
      <c r="AI313" s="12">
        <f t="shared" ref="AI313:AP313" si="278">28750+101142.19</f>
        <v>129892.19</v>
      </c>
      <c r="AJ313" s="12">
        <f t="shared" si="278"/>
        <v>129892.19</v>
      </c>
      <c r="AK313" s="12">
        <f t="shared" si="278"/>
        <v>129892.19</v>
      </c>
      <c r="AL313" s="12">
        <f t="shared" si="278"/>
        <v>129892.19</v>
      </c>
      <c r="AM313" s="12">
        <f t="shared" si="278"/>
        <v>129892.19</v>
      </c>
      <c r="AN313" s="12">
        <f t="shared" si="278"/>
        <v>129892.19</v>
      </c>
      <c r="AO313" s="12">
        <f t="shared" si="278"/>
        <v>129892.19</v>
      </c>
      <c r="AP313" s="12">
        <f t="shared" si="278"/>
        <v>129892.19</v>
      </c>
      <c r="AQ313" s="3">
        <f>SUM(AE313:AP313)</f>
        <v>1557464.0699999996</v>
      </c>
      <c r="AR313" s="3">
        <f>28750+101142.19</f>
        <v>129892.19</v>
      </c>
      <c r="AS313" s="3">
        <f>28750+101142.19</f>
        <v>129892.19</v>
      </c>
      <c r="AT313" s="3">
        <f>28750+101142.19</f>
        <v>129892.19</v>
      </c>
      <c r="AU313" s="3">
        <f>30000+99812.5</f>
        <v>129812.5</v>
      </c>
      <c r="AV313" s="3">
        <f t="shared" ref="AV313:BC313" si="279">30000+99812.5</f>
        <v>129812.5</v>
      </c>
      <c r="AW313" s="3">
        <f t="shared" si="279"/>
        <v>129812.5</v>
      </c>
      <c r="AX313" s="3">
        <f t="shared" si="279"/>
        <v>129812.5</v>
      </c>
      <c r="AY313" s="3">
        <f t="shared" si="279"/>
        <v>129812.5</v>
      </c>
      <c r="AZ313" s="3">
        <f t="shared" si="279"/>
        <v>129812.5</v>
      </c>
      <c r="BA313" s="3">
        <f t="shared" si="279"/>
        <v>129812.5</v>
      </c>
      <c r="BB313" s="3">
        <f t="shared" si="279"/>
        <v>129812.5</v>
      </c>
      <c r="BC313" s="3">
        <f t="shared" si="279"/>
        <v>129812.5</v>
      </c>
      <c r="BD313" s="3">
        <f>SUM(AR313:BC313)</f>
        <v>1557989.07</v>
      </c>
    </row>
    <row r="314" spans="1:56" ht="13.5" thickBot="1" x14ac:dyDescent="0.35">
      <c r="D314" s="13" t="s">
        <v>153</v>
      </c>
      <c r="E314" s="14">
        <f t="shared" ref="E314:P314" si="280">SUM(E311:E313)</f>
        <v>130015.11</v>
      </c>
      <c r="F314" s="14">
        <f t="shared" si="280"/>
        <v>129765.11</v>
      </c>
      <c r="G314" s="14">
        <f t="shared" si="280"/>
        <v>129765.11</v>
      </c>
      <c r="H314" s="14">
        <f t="shared" si="280"/>
        <v>129858.86</v>
      </c>
      <c r="I314" s="14">
        <f t="shared" si="280"/>
        <v>129858.86</v>
      </c>
      <c r="J314" s="14">
        <f t="shared" si="280"/>
        <v>129858.86</v>
      </c>
      <c r="K314" s="14">
        <f t="shared" si="280"/>
        <v>129858.86</v>
      </c>
      <c r="L314" s="14">
        <f t="shared" si="280"/>
        <v>129858.86</v>
      </c>
      <c r="M314" s="14">
        <f t="shared" si="280"/>
        <v>129858.86</v>
      </c>
      <c r="N314" s="14">
        <f t="shared" si="280"/>
        <v>129858.86</v>
      </c>
      <c r="O314" s="14">
        <f t="shared" si="280"/>
        <v>129858.86</v>
      </c>
      <c r="P314" s="14">
        <f t="shared" si="280"/>
        <v>129858.86</v>
      </c>
      <c r="Q314" s="14">
        <f>SUM(Q311:Q313)</f>
        <v>1558275.0700000003</v>
      </c>
      <c r="R314" s="14">
        <f t="shared" ref="R314:AC314" si="281">SUM(R311:R313)</f>
        <v>130108.86</v>
      </c>
      <c r="S314" s="14">
        <f t="shared" si="281"/>
        <v>129858.86</v>
      </c>
      <c r="T314" s="14">
        <f t="shared" si="281"/>
        <v>129858.86</v>
      </c>
      <c r="U314" s="14">
        <f t="shared" si="281"/>
        <v>129478.12</v>
      </c>
      <c r="V314" s="14">
        <f t="shared" si="281"/>
        <v>129478.12</v>
      </c>
      <c r="W314" s="14">
        <f t="shared" si="281"/>
        <v>129478.12</v>
      </c>
      <c r="X314" s="14">
        <f t="shared" si="281"/>
        <v>129478.12</v>
      </c>
      <c r="Y314" s="14">
        <f t="shared" si="281"/>
        <v>129478.12</v>
      </c>
      <c r="Z314" s="14">
        <f t="shared" si="281"/>
        <v>129478.12</v>
      </c>
      <c r="AA314" s="14">
        <f t="shared" si="281"/>
        <v>129478.12</v>
      </c>
      <c r="AB314" s="14">
        <f t="shared" si="281"/>
        <v>129478.12</v>
      </c>
      <c r="AC314" s="14">
        <f t="shared" si="281"/>
        <v>129478.12</v>
      </c>
      <c r="AD314" s="14">
        <f>SUM(AD311:AD313)</f>
        <v>1555129.6600000001</v>
      </c>
      <c r="AE314" s="14">
        <f>SUM(AE311:AE313)</f>
        <v>129728.12</v>
      </c>
      <c r="AF314" s="14">
        <f>SUM(AF311:AF313)</f>
        <v>129478.12</v>
      </c>
      <c r="AG314" s="14">
        <f t="shared" ref="AG314:AP314" si="282">SUM(AG311:AG313)</f>
        <v>129478.12</v>
      </c>
      <c r="AH314" s="14">
        <f t="shared" si="282"/>
        <v>129892.19</v>
      </c>
      <c r="AI314" s="14">
        <f t="shared" si="282"/>
        <v>129892.19</v>
      </c>
      <c r="AJ314" s="14">
        <f t="shared" si="282"/>
        <v>129892.19</v>
      </c>
      <c r="AK314" s="14">
        <f t="shared" si="282"/>
        <v>129892.19</v>
      </c>
      <c r="AL314" s="14">
        <f t="shared" si="282"/>
        <v>129892.19</v>
      </c>
      <c r="AM314" s="14">
        <f t="shared" si="282"/>
        <v>129892.19</v>
      </c>
      <c r="AN314" s="14">
        <f t="shared" si="282"/>
        <v>129892.19</v>
      </c>
      <c r="AO314" s="14">
        <f t="shared" si="282"/>
        <v>129892.19</v>
      </c>
      <c r="AP314" s="14">
        <f t="shared" si="282"/>
        <v>129892.19</v>
      </c>
      <c r="AQ314" s="22">
        <f>SUM(AQ311:AQ313)</f>
        <v>1557714.0699999996</v>
      </c>
      <c r="AR314" s="22">
        <f t="shared" ref="AR314:BD314" si="283">SUM(AR311:AR313)</f>
        <v>130142.19</v>
      </c>
      <c r="AS314" s="22">
        <f t="shared" si="283"/>
        <v>129892.19</v>
      </c>
      <c r="AT314" s="22">
        <f t="shared" si="283"/>
        <v>129892.19</v>
      </c>
      <c r="AU314" s="22">
        <f t="shared" si="283"/>
        <v>129812.5</v>
      </c>
      <c r="AV314" s="22">
        <f t="shared" si="283"/>
        <v>129812.5</v>
      </c>
      <c r="AW314" s="22">
        <f t="shared" si="283"/>
        <v>129812.5</v>
      </c>
      <c r="AX314" s="22">
        <f t="shared" si="283"/>
        <v>129812.5</v>
      </c>
      <c r="AY314" s="22">
        <f t="shared" si="283"/>
        <v>129812.5</v>
      </c>
      <c r="AZ314" s="22">
        <f t="shared" si="283"/>
        <v>129812.5</v>
      </c>
      <c r="BA314" s="22">
        <f t="shared" si="283"/>
        <v>129812.5</v>
      </c>
      <c r="BB314" s="22">
        <f t="shared" si="283"/>
        <v>129812.5</v>
      </c>
      <c r="BC314" s="22">
        <f t="shared" si="283"/>
        <v>129812.5</v>
      </c>
      <c r="BD314" s="22">
        <f t="shared" si="283"/>
        <v>1558239.07</v>
      </c>
    </row>
    <row r="315" spans="1:56" x14ac:dyDescent="0.3">
      <c r="D315" s="15"/>
    </row>
    <row r="316" spans="1:56" ht="15.5" x14ac:dyDescent="0.35">
      <c r="C316" s="30" t="s">
        <v>6</v>
      </c>
      <c r="D316" s="10" t="s">
        <v>154</v>
      </c>
    </row>
    <row r="317" spans="1:56" x14ac:dyDescent="0.3">
      <c r="D317" s="8" t="s">
        <v>8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f>SUM(E317:P317)</f>
        <v>0</v>
      </c>
      <c r="R317" s="12">
        <v>0</v>
      </c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>
        <f>SUM(R317:AC317)</f>
        <v>0</v>
      </c>
    </row>
    <row r="318" spans="1:56" x14ac:dyDescent="0.3">
      <c r="D318" s="8" t="s">
        <v>9</v>
      </c>
      <c r="E318" s="11">
        <v>250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2">
        <f>SUM(E318:P318)</f>
        <v>250</v>
      </c>
      <c r="R318" s="11">
        <v>250</v>
      </c>
      <c r="AD318" s="12">
        <f>SUM(R318:AC318)</f>
        <v>250</v>
      </c>
    </row>
    <row r="319" spans="1:56" ht="13.5" thickBot="1" x14ac:dyDescent="0.35">
      <c r="A319" t="s">
        <v>155</v>
      </c>
      <c r="D319" s="8" t="s">
        <v>10</v>
      </c>
      <c r="E319" s="11">
        <v>19770.04</v>
      </c>
      <c r="F319" s="11">
        <v>19770.04</v>
      </c>
      <c r="G319" s="11">
        <v>19770.04</v>
      </c>
      <c r="H319" s="11">
        <v>19770.04</v>
      </c>
      <c r="I319" s="11">
        <v>19770.04</v>
      </c>
      <c r="J319" s="11">
        <v>19770.04</v>
      </c>
      <c r="K319" s="11">
        <v>19770.04</v>
      </c>
      <c r="L319" s="11">
        <v>19770.04</v>
      </c>
      <c r="M319" s="11">
        <v>19770.04</v>
      </c>
      <c r="N319" s="11">
        <v>19770.04</v>
      </c>
      <c r="O319" s="11">
        <v>19770.04</v>
      </c>
      <c r="P319" s="11">
        <v>19770.04</v>
      </c>
      <c r="Q319" s="12">
        <f>SUM(E319:P319)</f>
        <v>237240.48000000007</v>
      </c>
      <c r="R319" s="11">
        <v>19770.04</v>
      </c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2">
        <f>SUM(R319:AC319)</f>
        <v>19770.04</v>
      </c>
    </row>
    <row r="320" spans="1:56" ht="13.5" thickBot="1" x14ac:dyDescent="0.35">
      <c r="D320" s="13" t="s">
        <v>156</v>
      </c>
      <c r="E320" s="14">
        <f t="shared" ref="E320:P320" si="284">SUM(E317:E319)</f>
        <v>20020.04</v>
      </c>
      <c r="F320" s="14">
        <f t="shared" si="284"/>
        <v>19770.04</v>
      </c>
      <c r="G320" s="14">
        <f t="shared" si="284"/>
        <v>19770.04</v>
      </c>
      <c r="H320" s="14">
        <f t="shared" si="284"/>
        <v>19770.04</v>
      </c>
      <c r="I320" s="14">
        <f t="shared" si="284"/>
        <v>19770.04</v>
      </c>
      <c r="J320" s="14">
        <f t="shared" si="284"/>
        <v>19770.04</v>
      </c>
      <c r="K320" s="14">
        <f t="shared" si="284"/>
        <v>19770.04</v>
      </c>
      <c r="L320" s="14">
        <f t="shared" si="284"/>
        <v>19770.04</v>
      </c>
      <c r="M320" s="14">
        <f t="shared" si="284"/>
        <v>19770.04</v>
      </c>
      <c r="N320" s="14">
        <f t="shared" si="284"/>
        <v>19770.04</v>
      </c>
      <c r="O320" s="14">
        <f t="shared" si="284"/>
        <v>19770.04</v>
      </c>
      <c r="P320" s="14">
        <f t="shared" si="284"/>
        <v>19770.04</v>
      </c>
      <c r="Q320" s="14">
        <f>SUM(Q317:Q319)</f>
        <v>237490.48000000007</v>
      </c>
      <c r="R320" s="14">
        <f t="shared" ref="R320:AC320" si="285">SUM(R317:R319)</f>
        <v>20020.04</v>
      </c>
      <c r="S320" s="14">
        <f t="shared" si="285"/>
        <v>0</v>
      </c>
      <c r="T320" s="14">
        <f t="shared" si="285"/>
        <v>0</v>
      </c>
      <c r="U320" s="14">
        <f t="shared" si="285"/>
        <v>0</v>
      </c>
      <c r="V320" s="14">
        <f t="shared" si="285"/>
        <v>0</v>
      </c>
      <c r="W320" s="14">
        <f t="shared" si="285"/>
        <v>0</v>
      </c>
      <c r="X320" s="14">
        <f t="shared" si="285"/>
        <v>0</v>
      </c>
      <c r="Y320" s="14">
        <f t="shared" si="285"/>
        <v>0</v>
      </c>
      <c r="Z320" s="14">
        <f t="shared" si="285"/>
        <v>0</v>
      </c>
      <c r="AA320" s="14">
        <f t="shared" si="285"/>
        <v>0</v>
      </c>
      <c r="AB320" s="14">
        <f t="shared" si="285"/>
        <v>0</v>
      </c>
      <c r="AC320" s="14">
        <f t="shared" si="285"/>
        <v>0</v>
      </c>
      <c r="AD320" s="14">
        <f>SUM(AD317:AD319)</f>
        <v>20020.04</v>
      </c>
    </row>
    <row r="321" spans="1:56" x14ac:dyDescent="0.3">
      <c r="D321" s="15"/>
    </row>
    <row r="322" spans="1:56" ht="15.5" x14ac:dyDescent="0.35">
      <c r="B322" s="1">
        <f>B310+1</f>
        <v>38</v>
      </c>
      <c r="C322" s="24" t="s">
        <v>14</v>
      </c>
      <c r="D322" s="25" t="s">
        <v>157</v>
      </c>
    </row>
    <row r="323" spans="1:56" x14ac:dyDescent="0.3">
      <c r="D323" s="8" t="s">
        <v>8</v>
      </c>
      <c r="E323" s="12">
        <v>1508.75</v>
      </c>
      <c r="F323" s="12">
        <v>1508.75</v>
      </c>
      <c r="G323" s="12">
        <v>1508.75</v>
      </c>
      <c r="H323" s="12">
        <v>1508.75</v>
      </c>
      <c r="I323" s="12">
        <v>1508.75</v>
      </c>
      <c r="J323" s="12">
        <v>1508.75</v>
      </c>
      <c r="K323" s="12">
        <v>1508.75</v>
      </c>
      <c r="L323" s="12">
        <v>1508.75</v>
      </c>
      <c r="M323" s="11">
        <v>1487.5</v>
      </c>
      <c r="N323" s="11">
        <v>1487.5</v>
      </c>
      <c r="O323" s="11">
        <v>1487.5</v>
      </c>
      <c r="P323" s="11">
        <v>1487.5</v>
      </c>
      <c r="Q323" s="12">
        <f>SUM(E323:P323)</f>
        <v>18020</v>
      </c>
      <c r="R323" s="11">
        <v>1487.5</v>
      </c>
      <c r="S323" s="11">
        <v>1487.5</v>
      </c>
      <c r="T323" s="11">
        <v>1487.5</v>
      </c>
      <c r="U323" s="11">
        <v>1487.5</v>
      </c>
      <c r="V323" s="11">
        <v>1487.5</v>
      </c>
      <c r="W323" s="11">
        <v>1487.5</v>
      </c>
      <c r="X323" s="11">
        <v>1487.5</v>
      </c>
      <c r="Y323" s="11">
        <v>1487.5</v>
      </c>
      <c r="Z323" s="11">
        <v>1465.42</v>
      </c>
      <c r="AA323" s="11">
        <v>1465.42</v>
      </c>
      <c r="AB323" s="11">
        <v>1465.42</v>
      </c>
      <c r="AC323" s="11">
        <v>1465.42</v>
      </c>
      <c r="AD323" s="12">
        <f>SUM(R323:AC323)</f>
        <v>17761.68</v>
      </c>
      <c r="AE323" s="11">
        <v>1465.42</v>
      </c>
      <c r="AF323" s="11">
        <v>1465.42</v>
      </c>
      <c r="AG323" s="11">
        <v>1465.42</v>
      </c>
      <c r="AH323" s="11">
        <v>1465.42</v>
      </c>
      <c r="AI323" s="11">
        <v>1465.42</v>
      </c>
      <c r="AJ323" s="11">
        <v>1465.42</v>
      </c>
      <c r="AK323" s="11">
        <v>1465.42</v>
      </c>
      <c r="AL323" s="11">
        <v>1465.42</v>
      </c>
      <c r="AM323" s="12">
        <v>1442.5</v>
      </c>
      <c r="AN323" s="12">
        <v>1442.5</v>
      </c>
      <c r="AO323" s="12">
        <v>1442.5</v>
      </c>
      <c r="AP323" s="12">
        <v>1442.5</v>
      </c>
      <c r="AQ323" s="3">
        <f>SUM(AE323:AP323)</f>
        <v>17493.36</v>
      </c>
      <c r="AR323" s="3">
        <v>1442.5</v>
      </c>
      <c r="AS323" s="3">
        <v>1442.5</v>
      </c>
      <c r="AT323" s="3">
        <v>1442.5</v>
      </c>
      <c r="AU323" s="3">
        <v>1442.5</v>
      </c>
      <c r="AV323" s="3">
        <v>1442.5</v>
      </c>
      <c r="AW323" s="3">
        <v>1442.5</v>
      </c>
      <c r="AX323" s="3">
        <v>1442.5</v>
      </c>
      <c r="AY323" s="3">
        <v>1442.5</v>
      </c>
      <c r="AZ323" s="3">
        <v>1418.75</v>
      </c>
      <c r="BA323" s="3">
        <v>1418.75</v>
      </c>
      <c r="BB323" s="3">
        <v>1418.75</v>
      </c>
      <c r="BC323" s="3">
        <v>1418.75</v>
      </c>
      <c r="BD323" s="3">
        <f>SUM(AR323:BC323)</f>
        <v>17215</v>
      </c>
    </row>
    <row r="324" spans="1:56" x14ac:dyDescent="0.3">
      <c r="D324" s="8" t="s">
        <v>9</v>
      </c>
      <c r="E324" s="11">
        <v>250</v>
      </c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2">
        <f>SUM(E324:P324)</f>
        <v>250</v>
      </c>
      <c r="R324" s="11">
        <v>250</v>
      </c>
      <c r="AD324" s="12">
        <f>SUM(R324:AC324)</f>
        <v>250</v>
      </c>
      <c r="AE324" s="11">
        <v>250</v>
      </c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3">
        <f>SUM(AE324:AP324)</f>
        <v>250</v>
      </c>
      <c r="AR324" s="3">
        <v>250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f>SUM(AR324:BC324)</f>
        <v>250</v>
      </c>
    </row>
    <row r="325" spans="1:56" ht="13.5" thickBot="1" x14ac:dyDescent="0.35">
      <c r="A325" t="s">
        <v>158</v>
      </c>
      <c r="D325" s="8" t="s">
        <v>10</v>
      </c>
      <c r="E325" s="11">
        <v>95020.83</v>
      </c>
      <c r="F325" s="11">
        <v>95020.83</v>
      </c>
      <c r="G325" s="11">
        <v>95020.83</v>
      </c>
      <c r="H325" s="11">
        <v>95020.83</v>
      </c>
      <c r="I325" s="11">
        <v>95020.83</v>
      </c>
      <c r="J325" s="11">
        <v>95020.83</v>
      </c>
      <c r="K325" s="11">
        <v>95020.83</v>
      </c>
      <c r="L325" s="11">
        <v>95020.83</v>
      </c>
      <c r="M325" s="11">
        <v>95020.83</v>
      </c>
      <c r="N325" s="11">
        <v>95004.160000000003</v>
      </c>
      <c r="O325" s="11">
        <v>95004.160000000003</v>
      </c>
      <c r="P325" s="11">
        <v>95004.160000000003</v>
      </c>
      <c r="Q325" s="12">
        <f>SUM(E325:P325)</f>
        <v>1140199.95</v>
      </c>
      <c r="R325" s="11">
        <f>22083.33+72920.83</f>
        <v>95004.160000000003</v>
      </c>
      <c r="S325" s="11">
        <f t="shared" ref="S325:Z325" si="286">22083.33+72920.83</f>
        <v>95004.160000000003</v>
      </c>
      <c r="T325" s="11">
        <f t="shared" si="286"/>
        <v>95004.160000000003</v>
      </c>
      <c r="U325" s="11">
        <f t="shared" si="286"/>
        <v>95004.160000000003</v>
      </c>
      <c r="V325" s="11">
        <f t="shared" si="286"/>
        <v>95004.160000000003</v>
      </c>
      <c r="W325" s="11">
        <f t="shared" si="286"/>
        <v>95004.160000000003</v>
      </c>
      <c r="X325" s="11">
        <f t="shared" si="286"/>
        <v>95004.160000000003</v>
      </c>
      <c r="Y325" s="11">
        <f t="shared" si="286"/>
        <v>95004.160000000003</v>
      </c>
      <c r="Z325" s="11">
        <f t="shared" si="286"/>
        <v>95004.160000000003</v>
      </c>
      <c r="AA325" s="11">
        <f>22916.67+72037.5</f>
        <v>94954.17</v>
      </c>
      <c r="AB325" s="11">
        <f>22916.67+72037.5</f>
        <v>94954.17</v>
      </c>
      <c r="AC325" s="11">
        <f>22916.67+72037.5</f>
        <v>94954.17</v>
      </c>
      <c r="AD325" s="12">
        <f>SUM(R325:AC325)</f>
        <v>1139899.9500000002</v>
      </c>
      <c r="AE325" s="11">
        <f t="shared" ref="AE325:AM325" si="287">22916.67+72037.5</f>
        <v>94954.17</v>
      </c>
      <c r="AF325" s="11">
        <f t="shared" si="287"/>
        <v>94954.17</v>
      </c>
      <c r="AG325" s="11">
        <f t="shared" si="287"/>
        <v>94954.17</v>
      </c>
      <c r="AH325" s="11">
        <f t="shared" si="287"/>
        <v>94954.17</v>
      </c>
      <c r="AI325" s="11">
        <f t="shared" si="287"/>
        <v>94954.17</v>
      </c>
      <c r="AJ325" s="11">
        <f t="shared" si="287"/>
        <v>94954.17</v>
      </c>
      <c r="AK325" s="11">
        <f t="shared" si="287"/>
        <v>94954.17</v>
      </c>
      <c r="AL325" s="11">
        <f t="shared" si="287"/>
        <v>94954.17</v>
      </c>
      <c r="AM325" s="11">
        <f t="shared" si="287"/>
        <v>94954.17</v>
      </c>
      <c r="AN325" s="12">
        <f>23750+71120.83</f>
        <v>94870.83</v>
      </c>
      <c r="AO325" s="12">
        <f>23750+71120.83</f>
        <v>94870.83</v>
      </c>
      <c r="AP325" s="12">
        <f>23750+71120.83</f>
        <v>94870.83</v>
      </c>
      <c r="AQ325" s="3">
        <f>SUM(AE325:AP325)</f>
        <v>1139200.02</v>
      </c>
      <c r="AR325" s="3">
        <f>23750+71120.83</f>
        <v>94870.83</v>
      </c>
      <c r="AS325" s="3">
        <f>23750+71120.83</f>
        <v>94870.83</v>
      </c>
      <c r="AT325" s="3">
        <f t="shared" ref="AT325:AZ325" si="288">23750+71120.83</f>
        <v>94870.83</v>
      </c>
      <c r="AU325" s="3">
        <f t="shared" si="288"/>
        <v>94870.83</v>
      </c>
      <c r="AV325" s="3">
        <f t="shared" si="288"/>
        <v>94870.83</v>
      </c>
      <c r="AW325" s="3">
        <f t="shared" si="288"/>
        <v>94870.83</v>
      </c>
      <c r="AX325" s="3">
        <f t="shared" si="288"/>
        <v>94870.83</v>
      </c>
      <c r="AY325" s="3">
        <f t="shared" si="288"/>
        <v>94870.83</v>
      </c>
      <c r="AZ325" s="3">
        <f t="shared" si="288"/>
        <v>94870.83</v>
      </c>
      <c r="BA325" s="3">
        <f>24583.33+70170.83</f>
        <v>94754.16</v>
      </c>
      <c r="BB325" s="3">
        <f>24583.33+70170.83</f>
        <v>94754.16</v>
      </c>
      <c r="BC325" s="3">
        <f>24583.33+70170.83</f>
        <v>94754.16</v>
      </c>
      <c r="BD325" s="3">
        <f>SUM(AR325:BC325)</f>
        <v>1138099.95</v>
      </c>
    </row>
    <row r="326" spans="1:56" ht="13.5" thickBot="1" x14ac:dyDescent="0.35">
      <c r="D326" s="13" t="s">
        <v>159</v>
      </c>
      <c r="E326" s="14">
        <f t="shared" ref="E326:P326" si="289">SUM(E323:E325)</f>
        <v>96779.58</v>
      </c>
      <c r="F326" s="14">
        <f t="shared" si="289"/>
        <v>96529.58</v>
      </c>
      <c r="G326" s="14">
        <f t="shared" si="289"/>
        <v>96529.58</v>
      </c>
      <c r="H326" s="14">
        <f t="shared" si="289"/>
        <v>96529.58</v>
      </c>
      <c r="I326" s="14">
        <f t="shared" si="289"/>
        <v>96529.58</v>
      </c>
      <c r="J326" s="14">
        <f t="shared" si="289"/>
        <v>96529.58</v>
      </c>
      <c r="K326" s="14">
        <f t="shared" si="289"/>
        <v>96529.58</v>
      </c>
      <c r="L326" s="14">
        <f t="shared" si="289"/>
        <v>96529.58</v>
      </c>
      <c r="M326" s="14">
        <f t="shared" si="289"/>
        <v>96508.33</v>
      </c>
      <c r="N326" s="14">
        <f t="shared" si="289"/>
        <v>96491.66</v>
      </c>
      <c r="O326" s="14">
        <f t="shared" si="289"/>
        <v>96491.66</v>
      </c>
      <c r="P326" s="14">
        <f t="shared" si="289"/>
        <v>96491.66</v>
      </c>
      <c r="Q326" s="14">
        <f>SUM(Q323:Q325)</f>
        <v>1158469.95</v>
      </c>
      <c r="R326" s="14">
        <f t="shared" ref="R326:AC326" si="290">SUM(R323:R325)</f>
        <v>96741.66</v>
      </c>
      <c r="S326" s="14">
        <f t="shared" si="290"/>
        <v>96491.66</v>
      </c>
      <c r="T326" s="14">
        <f t="shared" si="290"/>
        <v>96491.66</v>
      </c>
      <c r="U326" s="14">
        <f t="shared" si="290"/>
        <v>96491.66</v>
      </c>
      <c r="V326" s="14">
        <f t="shared" si="290"/>
        <v>96491.66</v>
      </c>
      <c r="W326" s="14">
        <f t="shared" si="290"/>
        <v>96491.66</v>
      </c>
      <c r="X326" s="14">
        <f t="shared" si="290"/>
        <v>96491.66</v>
      </c>
      <c r="Y326" s="14">
        <f t="shared" si="290"/>
        <v>96491.66</v>
      </c>
      <c r="Z326" s="14">
        <f t="shared" si="290"/>
        <v>96469.58</v>
      </c>
      <c r="AA326" s="14">
        <f t="shared" si="290"/>
        <v>96419.59</v>
      </c>
      <c r="AB326" s="14">
        <f t="shared" si="290"/>
        <v>96419.59</v>
      </c>
      <c r="AC326" s="14">
        <f t="shared" si="290"/>
        <v>96419.59</v>
      </c>
      <c r="AD326" s="14">
        <f>SUM(AD323:AD325)</f>
        <v>1157911.6300000001</v>
      </c>
      <c r="AE326" s="14">
        <f>SUM(AE323:AE325)</f>
        <v>96669.59</v>
      </c>
      <c r="AF326" s="14">
        <f>SUM(AF323:AF325)</f>
        <v>96419.59</v>
      </c>
      <c r="AG326" s="14">
        <f t="shared" ref="AG326:AP326" si="291">SUM(AG323:AG325)</f>
        <v>96419.59</v>
      </c>
      <c r="AH326" s="14">
        <f t="shared" si="291"/>
        <v>96419.59</v>
      </c>
      <c r="AI326" s="14">
        <f t="shared" si="291"/>
        <v>96419.59</v>
      </c>
      <c r="AJ326" s="14">
        <f t="shared" si="291"/>
        <v>96419.59</v>
      </c>
      <c r="AK326" s="14">
        <f t="shared" si="291"/>
        <v>96419.59</v>
      </c>
      <c r="AL326" s="14">
        <f t="shared" si="291"/>
        <v>96419.59</v>
      </c>
      <c r="AM326" s="14">
        <f t="shared" si="291"/>
        <v>96396.67</v>
      </c>
      <c r="AN326" s="14">
        <f t="shared" si="291"/>
        <v>96313.33</v>
      </c>
      <c r="AO326" s="14">
        <f t="shared" si="291"/>
        <v>96313.33</v>
      </c>
      <c r="AP326" s="14">
        <f t="shared" si="291"/>
        <v>96313.33</v>
      </c>
      <c r="AQ326" s="22">
        <f>SUM(AQ323:AQ325)</f>
        <v>1156943.3800000001</v>
      </c>
      <c r="AR326" s="22">
        <f t="shared" ref="AR326:BD326" si="292">SUM(AR323:AR325)</f>
        <v>96563.33</v>
      </c>
      <c r="AS326" s="22">
        <f t="shared" si="292"/>
        <v>96313.33</v>
      </c>
      <c r="AT326" s="22">
        <f t="shared" si="292"/>
        <v>96313.33</v>
      </c>
      <c r="AU326" s="22">
        <f t="shared" si="292"/>
        <v>96313.33</v>
      </c>
      <c r="AV326" s="22">
        <f t="shared" si="292"/>
        <v>96313.33</v>
      </c>
      <c r="AW326" s="22">
        <f t="shared" si="292"/>
        <v>96313.33</v>
      </c>
      <c r="AX326" s="22">
        <f t="shared" si="292"/>
        <v>96313.33</v>
      </c>
      <c r="AY326" s="22">
        <f t="shared" si="292"/>
        <v>96313.33</v>
      </c>
      <c r="AZ326" s="22">
        <f t="shared" si="292"/>
        <v>96289.58</v>
      </c>
      <c r="BA326" s="22">
        <f t="shared" si="292"/>
        <v>96172.91</v>
      </c>
      <c r="BB326" s="22">
        <f t="shared" si="292"/>
        <v>96172.91</v>
      </c>
      <c r="BC326" s="22">
        <f t="shared" si="292"/>
        <v>96172.91</v>
      </c>
      <c r="BD326" s="22">
        <f t="shared" si="292"/>
        <v>1155564.95</v>
      </c>
    </row>
    <row r="327" spans="1:56" x14ac:dyDescent="0.3">
      <c r="D327" s="15"/>
    </row>
    <row r="328" spans="1:56" ht="15.5" x14ac:dyDescent="0.35">
      <c r="B328" s="1">
        <f>B322+1</f>
        <v>39</v>
      </c>
      <c r="C328" s="24" t="s">
        <v>14</v>
      </c>
      <c r="D328" s="25" t="s">
        <v>160</v>
      </c>
    </row>
    <row r="329" spans="1:56" x14ac:dyDescent="0.3">
      <c r="D329" s="8" t="s">
        <v>8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f>SUM(E329:P329)</f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f>SUM(R329:AC329)</f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12">
        <v>0</v>
      </c>
      <c r="AN329" s="12">
        <v>0</v>
      </c>
      <c r="AO329" s="12">
        <v>0</v>
      </c>
      <c r="AP329" s="12">
        <v>0</v>
      </c>
      <c r="AQ329" s="3">
        <f>SUM(AE329:AP329)</f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  <c r="BA329" s="3">
        <v>0</v>
      </c>
      <c r="BB329" s="3">
        <v>0</v>
      </c>
      <c r="BC329" s="3">
        <v>0</v>
      </c>
      <c r="BD329" s="3">
        <f>SUM(AR329:BC329)</f>
        <v>0</v>
      </c>
    </row>
    <row r="330" spans="1:56" x14ac:dyDescent="0.3">
      <c r="D330" s="8" t="s">
        <v>9</v>
      </c>
      <c r="E330" s="11">
        <v>250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2">
        <f>SUM(E330:P330)</f>
        <v>250</v>
      </c>
      <c r="R330" s="11">
        <v>250</v>
      </c>
      <c r="AD330" s="12">
        <f>SUM(R330:AC330)</f>
        <v>250</v>
      </c>
      <c r="AE330" s="11">
        <v>250</v>
      </c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3">
        <f>SUM(AE330:AP330)</f>
        <v>250</v>
      </c>
      <c r="AR330" s="3">
        <v>250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f>SUM(AR330:BC330)</f>
        <v>250</v>
      </c>
    </row>
    <row r="331" spans="1:56" ht="13.5" thickBot="1" x14ac:dyDescent="0.35">
      <c r="A331" t="s">
        <v>161</v>
      </c>
      <c r="D331" s="8" t="s">
        <v>10</v>
      </c>
      <c r="E331" s="11">
        <v>51481.87</v>
      </c>
      <c r="F331" s="11">
        <v>51407.57</v>
      </c>
      <c r="G331" s="11">
        <v>51333.279999999999</v>
      </c>
      <c r="H331" s="11">
        <v>51258.99</v>
      </c>
      <c r="I331" s="11">
        <v>51184.7</v>
      </c>
      <c r="J331" s="11">
        <v>51110.400000000001</v>
      </c>
      <c r="K331" s="11">
        <v>51036.11</v>
      </c>
      <c r="L331" s="11">
        <v>50961.82</v>
      </c>
      <c r="M331" s="11">
        <v>50890.53</v>
      </c>
      <c r="N331" s="11">
        <v>51722.23</v>
      </c>
      <c r="O331" s="11">
        <v>51644.800000000003</v>
      </c>
      <c r="P331" s="11">
        <v>51567.37</v>
      </c>
      <c r="Q331" s="12">
        <f>SUM(E331:P331)</f>
        <v>615599.67000000004</v>
      </c>
      <c r="R331" s="11">
        <v>51489.94</v>
      </c>
      <c r="S331" s="11">
        <v>51412.51</v>
      </c>
      <c r="T331" s="11">
        <v>51335.08</v>
      </c>
      <c r="U331" s="11">
        <v>51257.66</v>
      </c>
      <c r="V331" s="11">
        <v>51180.23</v>
      </c>
      <c r="W331" s="11">
        <v>51102.8</v>
      </c>
      <c r="X331" s="11">
        <v>51025.37</v>
      </c>
      <c r="Y331" s="11">
        <v>50947.94</v>
      </c>
      <c r="Z331" s="11">
        <v>50871.51</v>
      </c>
      <c r="AA331" s="11">
        <v>51740.08</v>
      </c>
      <c r="AB331" s="11">
        <v>51659.39</v>
      </c>
      <c r="AC331" s="11">
        <v>51578.69</v>
      </c>
      <c r="AD331" s="12">
        <f>SUM(R331:AC331)</f>
        <v>615601.19999999995</v>
      </c>
      <c r="AE331" s="12">
        <v>51498</v>
      </c>
      <c r="AF331" s="12">
        <v>51417.3</v>
      </c>
      <c r="AG331" s="12">
        <v>51336.6</v>
      </c>
      <c r="AH331" s="12">
        <v>51255.91</v>
      </c>
      <c r="AI331" s="12">
        <v>51175.21</v>
      </c>
      <c r="AJ331" s="12">
        <v>51094.52</v>
      </c>
      <c r="AK331" s="12">
        <v>51013.82</v>
      </c>
      <c r="AL331" s="12">
        <v>50933.13</v>
      </c>
      <c r="AM331" s="12">
        <v>50854.43</v>
      </c>
      <c r="AN331" s="12">
        <v>51758.73</v>
      </c>
      <c r="AO331" s="12">
        <v>51674.63</v>
      </c>
      <c r="AP331" s="12">
        <v>51590.53</v>
      </c>
      <c r="AQ331" s="3">
        <f>SUM(AE331:AP331)</f>
        <v>615602.80999999994</v>
      </c>
      <c r="AR331" s="3">
        <f>24377+27129.43</f>
        <v>51506.43</v>
      </c>
      <c r="AS331" s="3">
        <f>24377+27045.33</f>
        <v>51422.33</v>
      </c>
      <c r="AT331" s="3">
        <f>24377+26961.23</f>
        <v>51338.229999999996</v>
      </c>
      <c r="AU331" s="3">
        <f>24377+26877.12</f>
        <v>51254.119999999995</v>
      </c>
      <c r="AV331" s="3">
        <f>24377+26793.02</f>
        <v>51170.020000000004</v>
      </c>
      <c r="AW331" s="3">
        <f>24377+26708.92</f>
        <v>51085.919999999998</v>
      </c>
      <c r="AX331" s="3">
        <f>24377+26624.82</f>
        <v>51001.82</v>
      </c>
      <c r="AY331" s="3">
        <f>24377+26540.72</f>
        <v>50917.72</v>
      </c>
      <c r="AZ331" s="3">
        <f>24380+26456.62</f>
        <v>50836.619999999995</v>
      </c>
      <c r="BA331" s="3">
        <f>25406+26372.51</f>
        <v>51778.509999999995</v>
      </c>
      <c r="BB331" s="3">
        <f>25406+26284.86</f>
        <v>51690.86</v>
      </c>
      <c r="BC331" s="3">
        <f>25406+26197.21</f>
        <v>51603.21</v>
      </c>
      <c r="BD331" s="3">
        <f>SUM(AR331:BC331)</f>
        <v>615605.78999999992</v>
      </c>
    </row>
    <row r="332" spans="1:56" ht="13.5" thickBot="1" x14ac:dyDescent="0.35">
      <c r="D332" s="13" t="s">
        <v>162</v>
      </c>
      <c r="E332" s="14">
        <f t="shared" ref="E332:P332" si="293">SUM(E329:E331)</f>
        <v>51731.87</v>
      </c>
      <c r="F332" s="14">
        <f t="shared" si="293"/>
        <v>51407.57</v>
      </c>
      <c r="G332" s="14">
        <f t="shared" si="293"/>
        <v>51333.279999999999</v>
      </c>
      <c r="H332" s="14">
        <f t="shared" si="293"/>
        <v>51258.99</v>
      </c>
      <c r="I332" s="14">
        <f t="shared" si="293"/>
        <v>51184.7</v>
      </c>
      <c r="J332" s="14">
        <f t="shared" si="293"/>
        <v>51110.400000000001</v>
      </c>
      <c r="K332" s="14">
        <f t="shared" si="293"/>
        <v>51036.11</v>
      </c>
      <c r="L332" s="14">
        <f t="shared" si="293"/>
        <v>50961.82</v>
      </c>
      <c r="M332" s="14">
        <f t="shared" si="293"/>
        <v>50890.53</v>
      </c>
      <c r="N332" s="14">
        <f t="shared" si="293"/>
        <v>51722.23</v>
      </c>
      <c r="O332" s="14">
        <f t="shared" si="293"/>
        <v>51644.800000000003</v>
      </c>
      <c r="P332" s="14">
        <f t="shared" si="293"/>
        <v>51567.37</v>
      </c>
      <c r="Q332" s="14">
        <f>SUM(Q329:Q331)</f>
        <v>615849.67000000004</v>
      </c>
      <c r="R332" s="14">
        <f t="shared" ref="R332:AC332" si="294">SUM(R329:R331)</f>
        <v>51739.94</v>
      </c>
      <c r="S332" s="14">
        <f t="shared" si="294"/>
        <v>51412.51</v>
      </c>
      <c r="T332" s="14">
        <f t="shared" si="294"/>
        <v>51335.08</v>
      </c>
      <c r="U332" s="14">
        <f t="shared" si="294"/>
        <v>51257.66</v>
      </c>
      <c r="V332" s="14">
        <f t="shared" si="294"/>
        <v>51180.23</v>
      </c>
      <c r="W332" s="14">
        <f t="shared" si="294"/>
        <v>51102.8</v>
      </c>
      <c r="X332" s="14">
        <f t="shared" si="294"/>
        <v>51025.37</v>
      </c>
      <c r="Y332" s="14">
        <f t="shared" si="294"/>
        <v>50947.94</v>
      </c>
      <c r="Z332" s="14">
        <f t="shared" si="294"/>
        <v>50871.51</v>
      </c>
      <c r="AA332" s="14">
        <f t="shared" si="294"/>
        <v>51740.08</v>
      </c>
      <c r="AB332" s="14">
        <f t="shared" si="294"/>
        <v>51659.39</v>
      </c>
      <c r="AC332" s="14">
        <f t="shared" si="294"/>
        <v>51578.69</v>
      </c>
      <c r="AD332" s="14">
        <f>SUM(AD329:AD331)</f>
        <v>615851.19999999995</v>
      </c>
      <c r="AE332" s="14">
        <f>SUM(AE329:AE331)</f>
        <v>51748</v>
      </c>
      <c r="AF332" s="14">
        <f>SUM(AF329:AF331)</f>
        <v>51417.3</v>
      </c>
      <c r="AG332" s="14">
        <f t="shared" ref="AG332:AP332" si="295">SUM(AG329:AG331)</f>
        <v>51336.6</v>
      </c>
      <c r="AH332" s="14">
        <f t="shared" si="295"/>
        <v>51255.91</v>
      </c>
      <c r="AI332" s="14">
        <f t="shared" si="295"/>
        <v>51175.21</v>
      </c>
      <c r="AJ332" s="14">
        <f t="shared" si="295"/>
        <v>51094.52</v>
      </c>
      <c r="AK332" s="14">
        <f t="shared" si="295"/>
        <v>51013.82</v>
      </c>
      <c r="AL332" s="14">
        <f t="shared" si="295"/>
        <v>50933.13</v>
      </c>
      <c r="AM332" s="14">
        <f t="shared" si="295"/>
        <v>50854.43</v>
      </c>
      <c r="AN332" s="14">
        <f t="shared" si="295"/>
        <v>51758.73</v>
      </c>
      <c r="AO332" s="14">
        <f t="shared" si="295"/>
        <v>51674.63</v>
      </c>
      <c r="AP332" s="14">
        <f t="shared" si="295"/>
        <v>51590.53</v>
      </c>
      <c r="AQ332" s="22">
        <f>SUM(AQ329:AQ331)</f>
        <v>615852.80999999994</v>
      </c>
      <c r="AR332" s="22">
        <f t="shared" ref="AR332:BD332" si="296">SUM(AR329:AR331)</f>
        <v>51756.43</v>
      </c>
      <c r="AS332" s="22">
        <f t="shared" si="296"/>
        <v>51422.33</v>
      </c>
      <c r="AT332" s="22">
        <f t="shared" si="296"/>
        <v>51338.229999999996</v>
      </c>
      <c r="AU332" s="22">
        <f t="shared" si="296"/>
        <v>51254.119999999995</v>
      </c>
      <c r="AV332" s="22">
        <f t="shared" si="296"/>
        <v>51170.020000000004</v>
      </c>
      <c r="AW332" s="22">
        <f t="shared" si="296"/>
        <v>51085.919999999998</v>
      </c>
      <c r="AX332" s="22">
        <f t="shared" si="296"/>
        <v>51001.82</v>
      </c>
      <c r="AY332" s="22">
        <f t="shared" si="296"/>
        <v>50917.72</v>
      </c>
      <c r="AZ332" s="22">
        <f t="shared" si="296"/>
        <v>50836.619999999995</v>
      </c>
      <c r="BA332" s="22">
        <f t="shared" si="296"/>
        <v>51778.509999999995</v>
      </c>
      <c r="BB332" s="22">
        <f t="shared" si="296"/>
        <v>51690.86</v>
      </c>
      <c r="BC332" s="22">
        <f t="shared" si="296"/>
        <v>51603.21</v>
      </c>
      <c r="BD332" s="22">
        <f t="shared" si="296"/>
        <v>615855.78999999992</v>
      </c>
    </row>
    <row r="333" spans="1:56" x14ac:dyDescent="0.3">
      <c r="D333" s="15"/>
    </row>
    <row r="334" spans="1:56" ht="15.5" x14ac:dyDescent="0.35">
      <c r="C334" s="30" t="s">
        <v>6</v>
      </c>
      <c r="D334" s="10" t="s">
        <v>163</v>
      </c>
    </row>
    <row r="335" spans="1:56" x14ac:dyDescent="0.3">
      <c r="D335" s="8" t="s">
        <v>8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/>
      <c r="N335" s="12"/>
      <c r="O335" s="12"/>
      <c r="P335" s="12"/>
      <c r="Q335" s="12">
        <f>SUM(E335:P335)</f>
        <v>0</v>
      </c>
    </row>
    <row r="336" spans="1:56" x14ac:dyDescent="0.3">
      <c r="D336" s="8" t="s">
        <v>9</v>
      </c>
      <c r="E336" s="11">
        <v>250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2">
        <f>SUM(E336:P336)</f>
        <v>250</v>
      </c>
    </row>
    <row r="337" spans="1:17" ht="13.5" thickBot="1" x14ac:dyDescent="0.35">
      <c r="A337" t="s">
        <v>164</v>
      </c>
      <c r="D337" s="8" t="s">
        <v>10</v>
      </c>
      <c r="E337" s="11">
        <f t="shared" ref="E337:L337" si="297">7916.67+106325.52</f>
        <v>114242.19</v>
      </c>
      <c r="F337" s="11">
        <f t="shared" si="297"/>
        <v>114242.19</v>
      </c>
      <c r="G337" s="11">
        <f t="shared" si="297"/>
        <v>114242.19</v>
      </c>
      <c r="H337" s="11">
        <f t="shared" si="297"/>
        <v>114242.19</v>
      </c>
      <c r="I337" s="11">
        <f>7916.67+106325.53</f>
        <v>114242.2</v>
      </c>
      <c r="J337" s="11">
        <f t="shared" si="297"/>
        <v>114242.19</v>
      </c>
      <c r="K337" s="11">
        <f t="shared" si="297"/>
        <v>114242.19</v>
      </c>
      <c r="L337" s="11">
        <f t="shared" si="297"/>
        <v>114242.19</v>
      </c>
      <c r="M337" s="11"/>
      <c r="N337" s="11"/>
      <c r="O337" s="11"/>
      <c r="P337" s="11"/>
      <c r="Q337" s="12">
        <f>SUM(E337:P337)</f>
        <v>913937.5299999998</v>
      </c>
    </row>
    <row r="338" spans="1:17" ht="13.5" thickBot="1" x14ac:dyDescent="0.35">
      <c r="D338" s="13" t="s">
        <v>165</v>
      </c>
      <c r="E338" s="14">
        <f t="shared" ref="E338:P338" si="298">SUM(E335:E337)</f>
        <v>114492.19</v>
      </c>
      <c r="F338" s="14">
        <f t="shared" si="298"/>
        <v>114242.19</v>
      </c>
      <c r="G338" s="14">
        <f t="shared" si="298"/>
        <v>114242.19</v>
      </c>
      <c r="H338" s="14">
        <f t="shared" si="298"/>
        <v>114242.19</v>
      </c>
      <c r="I338" s="14">
        <f t="shared" si="298"/>
        <v>114242.2</v>
      </c>
      <c r="J338" s="14">
        <f t="shared" si="298"/>
        <v>114242.19</v>
      </c>
      <c r="K338" s="14">
        <f t="shared" si="298"/>
        <v>114242.19</v>
      </c>
      <c r="L338" s="14">
        <f t="shared" si="298"/>
        <v>114242.19</v>
      </c>
      <c r="M338" s="14">
        <f t="shared" si="298"/>
        <v>0</v>
      </c>
      <c r="N338" s="14">
        <f t="shared" si="298"/>
        <v>0</v>
      </c>
      <c r="O338" s="14">
        <f t="shared" si="298"/>
        <v>0</v>
      </c>
      <c r="P338" s="14">
        <f t="shared" si="298"/>
        <v>0</v>
      </c>
      <c r="Q338" s="14">
        <f>SUM(Q335:Q337)</f>
        <v>914187.5299999998</v>
      </c>
    </row>
    <row r="339" spans="1:17" x14ac:dyDescent="0.3">
      <c r="D339" s="15"/>
    </row>
    <row r="340" spans="1:17" ht="15.5" x14ac:dyDescent="0.35">
      <c r="C340" s="30" t="s">
        <v>6</v>
      </c>
      <c r="D340" s="10" t="s">
        <v>166</v>
      </c>
    </row>
    <row r="341" spans="1:17" x14ac:dyDescent="0.3">
      <c r="D341" s="8" t="s">
        <v>8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/>
      <c r="L341" s="12"/>
      <c r="M341" s="12"/>
      <c r="N341" s="12"/>
      <c r="O341" s="12"/>
      <c r="P341" s="12"/>
      <c r="Q341" s="12">
        <f>SUM(E341:P341)</f>
        <v>0</v>
      </c>
    </row>
    <row r="342" spans="1:17" x14ac:dyDescent="0.3">
      <c r="D342" s="8" t="s">
        <v>9</v>
      </c>
      <c r="E342" s="11">
        <v>104.17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2">
        <f>SUM(E342:P342)</f>
        <v>104.17</v>
      </c>
    </row>
    <row r="343" spans="1:17" ht="13.5" thickBot="1" x14ac:dyDescent="0.35">
      <c r="A343" t="s">
        <v>167</v>
      </c>
      <c r="D343" s="8" t="s">
        <v>10</v>
      </c>
      <c r="E343" s="11">
        <v>54825</v>
      </c>
      <c r="F343" s="11">
        <v>54825</v>
      </c>
      <c r="G343" s="11">
        <v>54825</v>
      </c>
      <c r="H343" s="11">
        <v>54825</v>
      </c>
      <c r="I343" s="11">
        <v>54825.02</v>
      </c>
      <c r="J343" s="11"/>
      <c r="K343" s="11"/>
      <c r="L343" s="11"/>
      <c r="M343" s="11"/>
      <c r="N343" s="11"/>
      <c r="O343" s="11"/>
      <c r="P343" s="11"/>
      <c r="Q343" s="12">
        <f>SUM(E343:P343)</f>
        <v>274125.02</v>
      </c>
    </row>
    <row r="344" spans="1:17" ht="13.5" thickBot="1" x14ac:dyDescent="0.35">
      <c r="D344" s="13" t="s">
        <v>26</v>
      </c>
      <c r="E344" s="14">
        <f t="shared" ref="E344:P344" si="299">SUM(E341:E343)</f>
        <v>54929.17</v>
      </c>
      <c r="F344" s="14">
        <f t="shared" si="299"/>
        <v>54825</v>
      </c>
      <c r="G344" s="14">
        <f t="shared" si="299"/>
        <v>54825</v>
      </c>
      <c r="H344" s="14">
        <f t="shared" si="299"/>
        <v>54825</v>
      </c>
      <c r="I344" s="14">
        <f t="shared" si="299"/>
        <v>54825.02</v>
      </c>
      <c r="J344" s="14">
        <f t="shared" si="299"/>
        <v>0</v>
      </c>
      <c r="K344" s="14">
        <f t="shared" si="299"/>
        <v>0</v>
      </c>
      <c r="L344" s="14">
        <f t="shared" si="299"/>
        <v>0</v>
      </c>
      <c r="M344" s="14">
        <f t="shared" si="299"/>
        <v>0</v>
      </c>
      <c r="N344" s="14">
        <f t="shared" si="299"/>
        <v>0</v>
      </c>
      <c r="O344" s="14">
        <f t="shared" si="299"/>
        <v>0</v>
      </c>
      <c r="P344" s="14">
        <f t="shared" si="299"/>
        <v>0</v>
      </c>
      <c r="Q344" s="14">
        <f>SUM(Q341:Q343)</f>
        <v>274229.19</v>
      </c>
    </row>
    <row r="345" spans="1:17" x14ac:dyDescent="0.3">
      <c r="D345" s="15"/>
    </row>
    <row r="346" spans="1:17" ht="15.5" x14ac:dyDescent="0.35">
      <c r="C346" s="30" t="s">
        <v>6</v>
      </c>
      <c r="D346" s="10" t="s">
        <v>168</v>
      </c>
    </row>
    <row r="347" spans="1:17" x14ac:dyDescent="0.3">
      <c r="D347" s="8" t="s">
        <v>8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/>
      <c r="L347" s="12"/>
      <c r="M347" s="12"/>
      <c r="N347" s="12"/>
      <c r="O347" s="12"/>
      <c r="P347" s="12"/>
      <c r="Q347" s="12">
        <f>SUM(E347:P347)</f>
        <v>0</v>
      </c>
    </row>
    <row r="348" spans="1:17" x14ac:dyDescent="0.3">
      <c r="D348" s="8" t="s">
        <v>9</v>
      </c>
      <c r="E348" s="11">
        <v>250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2">
        <f>SUM(E348:P348)</f>
        <v>250</v>
      </c>
    </row>
    <row r="349" spans="1:17" ht="13.5" thickBot="1" x14ac:dyDescent="0.35">
      <c r="A349" t="s">
        <v>169</v>
      </c>
      <c r="D349" s="8" t="s">
        <v>10</v>
      </c>
      <c r="E349" s="11">
        <f>20833.33+97556.67</f>
        <v>118390</v>
      </c>
      <c r="F349" s="11">
        <f>20833.33+97556.67</f>
        <v>118390</v>
      </c>
      <c r="G349" s="11">
        <f>20833.33+97556.67</f>
        <v>118390</v>
      </c>
      <c r="H349" s="11">
        <f>20833.33+97556.67</f>
        <v>118390</v>
      </c>
      <c r="I349" s="11">
        <f>20833.33+97556.67</f>
        <v>118390</v>
      </c>
      <c r="J349" s="11">
        <f>20833.33+97556.65</f>
        <v>118389.98</v>
      </c>
      <c r="K349" s="11"/>
      <c r="L349" s="11"/>
      <c r="M349" s="11"/>
      <c r="N349" s="11"/>
      <c r="O349" s="11"/>
      <c r="P349" s="11"/>
      <c r="Q349" s="12">
        <f>SUM(E349:P349)</f>
        <v>710339.98</v>
      </c>
    </row>
    <row r="350" spans="1:17" ht="13.5" thickBot="1" x14ac:dyDescent="0.35">
      <c r="D350" s="13" t="s">
        <v>170</v>
      </c>
      <c r="E350" s="14">
        <f t="shared" ref="E350:P350" si="300">SUM(E347:E349)</f>
        <v>118640</v>
      </c>
      <c r="F350" s="14">
        <f t="shared" si="300"/>
        <v>118390</v>
      </c>
      <c r="G350" s="14">
        <f t="shared" si="300"/>
        <v>118390</v>
      </c>
      <c r="H350" s="14">
        <f t="shared" si="300"/>
        <v>118390</v>
      </c>
      <c r="I350" s="14">
        <f t="shared" si="300"/>
        <v>118390</v>
      </c>
      <c r="J350" s="14">
        <f t="shared" si="300"/>
        <v>118389.98</v>
      </c>
      <c r="K350" s="14">
        <f t="shared" si="300"/>
        <v>0</v>
      </c>
      <c r="L350" s="14">
        <f t="shared" si="300"/>
        <v>0</v>
      </c>
      <c r="M350" s="14">
        <f t="shared" si="300"/>
        <v>0</v>
      </c>
      <c r="N350" s="14">
        <f t="shared" si="300"/>
        <v>0</v>
      </c>
      <c r="O350" s="14">
        <f t="shared" si="300"/>
        <v>0</v>
      </c>
      <c r="P350" s="14">
        <f t="shared" si="300"/>
        <v>0</v>
      </c>
      <c r="Q350" s="14">
        <f>SUM(Q347:Q349)</f>
        <v>710589.98</v>
      </c>
    </row>
    <row r="351" spans="1:17" x14ac:dyDescent="0.3">
      <c r="D351" s="15"/>
    </row>
    <row r="352" spans="1:17" ht="15.5" x14ac:dyDescent="0.35">
      <c r="B352" s="1">
        <f>B328+1</f>
        <v>40</v>
      </c>
      <c r="C352" s="24" t="s">
        <v>14</v>
      </c>
      <c r="D352" s="25" t="s">
        <v>171</v>
      </c>
    </row>
    <row r="353" spans="1:56" x14ac:dyDescent="0.3">
      <c r="D353" s="8" t="s">
        <v>8</v>
      </c>
      <c r="E353" s="11">
        <v>3296.25</v>
      </c>
      <c r="F353" s="11">
        <v>3296.25</v>
      </c>
      <c r="G353" s="11">
        <v>3296.25</v>
      </c>
      <c r="H353" s="11">
        <v>3296.25</v>
      </c>
      <c r="I353" s="11">
        <v>3296.25</v>
      </c>
      <c r="J353" s="11">
        <v>3296.25</v>
      </c>
      <c r="K353" s="11">
        <v>3296.25</v>
      </c>
      <c r="L353" s="11">
        <v>3296.25</v>
      </c>
      <c r="M353" s="11">
        <v>3296.25</v>
      </c>
      <c r="N353" s="11">
        <v>3296.25</v>
      </c>
      <c r="O353" s="11">
        <v>3296.25</v>
      </c>
      <c r="P353" s="11">
        <v>3296.25</v>
      </c>
      <c r="Q353" s="12">
        <f>SUM(E353:P353)</f>
        <v>39555</v>
      </c>
      <c r="R353" s="11">
        <v>3239.58</v>
      </c>
      <c r="S353" s="11">
        <v>3239.58</v>
      </c>
      <c r="T353" s="11">
        <v>3239.58</v>
      </c>
      <c r="U353" s="11">
        <v>3239.58</v>
      </c>
      <c r="V353" s="11">
        <v>3239.58</v>
      </c>
      <c r="W353" s="11">
        <v>3239.58</v>
      </c>
      <c r="X353" s="11">
        <v>3239.58</v>
      </c>
      <c r="Y353" s="11">
        <v>3239.58</v>
      </c>
      <c r="Z353" s="11">
        <v>3239.58</v>
      </c>
      <c r="AA353" s="11">
        <v>3239.58</v>
      </c>
      <c r="AB353" s="11">
        <v>3239.58</v>
      </c>
      <c r="AC353" s="11">
        <v>3239.58</v>
      </c>
      <c r="AD353" s="12">
        <f>SUM(R353:AC353)</f>
        <v>38874.960000000006</v>
      </c>
      <c r="AE353" s="12">
        <v>3180</v>
      </c>
      <c r="AF353" s="12">
        <v>3180</v>
      </c>
      <c r="AG353" s="12">
        <v>3180</v>
      </c>
      <c r="AH353" s="12">
        <v>3180</v>
      </c>
      <c r="AI353" s="12">
        <v>3180</v>
      </c>
      <c r="AJ353" s="12">
        <v>3180</v>
      </c>
      <c r="AK353" s="12">
        <v>3180</v>
      </c>
      <c r="AL353" s="12">
        <v>3180</v>
      </c>
      <c r="AM353" s="12">
        <v>3180</v>
      </c>
      <c r="AN353" s="12">
        <v>3180</v>
      </c>
      <c r="AO353" s="12">
        <v>3180</v>
      </c>
      <c r="AP353" s="12">
        <v>3180</v>
      </c>
      <c r="AQ353" s="3">
        <f>SUM(AE353:AP353)</f>
        <v>38160</v>
      </c>
      <c r="AR353" s="3">
        <v>3117.08</v>
      </c>
      <c r="AS353" s="3">
        <v>3117.08</v>
      </c>
      <c r="AT353" s="3">
        <v>3117.08</v>
      </c>
      <c r="AU353" s="3">
        <v>3117.08</v>
      </c>
      <c r="AV353" s="3">
        <v>3117.08</v>
      </c>
      <c r="AW353" s="3">
        <v>3117.08</v>
      </c>
      <c r="AX353" s="3">
        <v>3117.08</v>
      </c>
      <c r="AY353" s="3">
        <v>3117.08</v>
      </c>
      <c r="AZ353" s="3">
        <v>3117.08</v>
      </c>
      <c r="BA353" s="3">
        <v>3117.08</v>
      </c>
      <c r="BB353" s="3">
        <v>3117.08</v>
      </c>
      <c r="BC353" s="3">
        <v>3117.08</v>
      </c>
      <c r="BD353" s="3">
        <f>SUM(AR353:BC353)</f>
        <v>37404.960000000006</v>
      </c>
    </row>
    <row r="354" spans="1:56" x14ac:dyDescent="0.3">
      <c r="D354" s="8" t="s">
        <v>9</v>
      </c>
      <c r="E354" s="11">
        <v>250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2">
        <f>SUM(E354:P354)</f>
        <v>250</v>
      </c>
      <c r="R354" s="11">
        <v>250</v>
      </c>
      <c r="AD354" s="12">
        <f>SUM(R354:AC354)</f>
        <v>250</v>
      </c>
      <c r="AE354" s="11">
        <v>250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3">
        <f>SUM(AE354:AP354)</f>
        <v>250</v>
      </c>
      <c r="AR354" s="3">
        <v>250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f>SUM(AR354:BC354)</f>
        <v>250</v>
      </c>
    </row>
    <row r="355" spans="1:56" ht="13.5" thickBot="1" x14ac:dyDescent="0.35">
      <c r="A355" t="s">
        <v>172</v>
      </c>
      <c r="D355" s="8" t="s">
        <v>10</v>
      </c>
      <c r="E355" s="12">
        <f>56666.67+148033.33</f>
        <v>204700</v>
      </c>
      <c r="F355" s="12">
        <f>56666.67+148033.33</f>
        <v>204700</v>
      </c>
      <c r="G355" s="12">
        <f>56666.67+148033.33</f>
        <v>204700</v>
      </c>
      <c r="H355" s="12">
        <f>56666.67+148033.33</f>
        <v>204700</v>
      </c>
      <c r="I355" s="12">
        <f>56666.67+148033.33</f>
        <v>204700</v>
      </c>
      <c r="J355" s="11">
        <f>59583.33+145200</f>
        <v>204783.33000000002</v>
      </c>
      <c r="K355" s="11">
        <f t="shared" ref="K355:V355" si="301">59583.33+145200</f>
        <v>204783.33000000002</v>
      </c>
      <c r="L355" s="11">
        <f t="shared" si="301"/>
        <v>204783.33000000002</v>
      </c>
      <c r="M355" s="11">
        <f t="shared" si="301"/>
        <v>204783.33000000002</v>
      </c>
      <c r="N355" s="11">
        <f t="shared" si="301"/>
        <v>204783.33000000002</v>
      </c>
      <c r="O355" s="11">
        <f t="shared" si="301"/>
        <v>204783.33000000002</v>
      </c>
      <c r="P355" s="11">
        <f t="shared" si="301"/>
        <v>204783.33000000002</v>
      </c>
      <c r="Q355" s="12">
        <f>SUM(E355:P355)</f>
        <v>2456983.3100000005</v>
      </c>
      <c r="R355" s="11">
        <f t="shared" si="301"/>
        <v>204783.33000000002</v>
      </c>
      <c r="S355" s="11">
        <f t="shared" si="301"/>
        <v>204783.33000000002</v>
      </c>
      <c r="T355" s="11">
        <f t="shared" si="301"/>
        <v>204783.33000000002</v>
      </c>
      <c r="U355" s="11">
        <f t="shared" si="301"/>
        <v>204783.33000000002</v>
      </c>
      <c r="V355" s="11">
        <f t="shared" si="301"/>
        <v>204783.33000000002</v>
      </c>
      <c r="W355" s="11">
        <f>62916.67+142220.83</f>
        <v>205137.5</v>
      </c>
      <c r="X355" s="11">
        <f t="shared" ref="X355:AI355" si="302">62916.67+142220.83</f>
        <v>205137.5</v>
      </c>
      <c r="Y355" s="11">
        <f t="shared" si="302"/>
        <v>205137.5</v>
      </c>
      <c r="Z355" s="11">
        <f t="shared" si="302"/>
        <v>205137.5</v>
      </c>
      <c r="AA355" s="11">
        <f t="shared" si="302"/>
        <v>205137.5</v>
      </c>
      <c r="AB355" s="11">
        <f t="shared" si="302"/>
        <v>205137.5</v>
      </c>
      <c r="AC355" s="11">
        <f t="shared" si="302"/>
        <v>205137.5</v>
      </c>
      <c r="AD355" s="12">
        <f>SUM(R355:AC355)</f>
        <v>2459879.1500000004</v>
      </c>
      <c r="AE355" s="11">
        <f t="shared" si="302"/>
        <v>205137.5</v>
      </c>
      <c r="AF355" s="11">
        <f t="shared" si="302"/>
        <v>205137.5</v>
      </c>
      <c r="AG355" s="11">
        <f t="shared" si="302"/>
        <v>205137.5</v>
      </c>
      <c r="AH355" s="11">
        <f t="shared" si="302"/>
        <v>205137.5</v>
      </c>
      <c r="AI355" s="11">
        <f t="shared" si="302"/>
        <v>205137.5</v>
      </c>
      <c r="AJ355" s="12">
        <f>65833.33+139075</f>
        <v>204908.33000000002</v>
      </c>
      <c r="AK355" s="12">
        <f t="shared" ref="AK355:AP355" si="303">65833.33+139075</f>
        <v>204908.33000000002</v>
      </c>
      <c r="AL355" s="12">
        <f t="shared" si="303"/>
        <v>204908.33000000002</v>
      </c>
      <c r="AM355" s="12">
        <f t="shared" si="303"/>
        <v>204908.33000000002</v>
      </c>
      <c r="AN355" s="12">
        <f t="shared" si="303"/>
        <v>204908.33000000002</v>
      </c>
      <c r="AO355" s="12">
        <f t="shared" si="303"/>
        <v>204908.33000000002</v>
      </c>
      <c r="AP355" s="12">
        <f t="shared" si="303"/>
        <v>204908.33000000002</v>
      </c>
      <c r="AQ355" s="3">
        <f>SUM(AE355:AP355)</f>
        <v>2460045.8100000005</v>
      </c>
      <c r="AR355" s="3">
        <f>65833.33+139075</f>
        <v>204908.33000000002</v>
      </c>
      <c r="AS355" s="3">
        <f>65833.33+139075</f>
        <v>204908.33000000002</v>
      </c>
      <c r="AT355" s="3">
        <f>65833.33+139075</f>
        <v>204908.33000000002</v>
      </c>
      <c r="AU355" s="3">
        <f>65833.33+139075</f>
        <v>204908.33000000002</v>
      </c>
      <c r="AV355" s="3">
        <f>65833.33+139075</f>
        <v>204908.33000000002</v>
      </c>
      <c r="AW355" s="3">
        <f>69583.33+135783.33</f>
        <v>205366.65999999997</v>
      </c>
      <c r="AX355" s="3">
        <f t="shared" ref="AX355:BC355" si="304">69583.33+135783.33</f>
        <v>205366.65999999997</v>
      </c>
      <c r="AY355" s="3">
        <f t="shared" si="304"/>
        <v>205366.65999999997</v>
      </c>
      <c r="AZ355" s="3">
        <f t="shared" si="304"/>
        <v>205366.65999999997</v>
      </c>
      <c r="BA355" s="3">
        <f t="shared" si="304"/>
        <v>205366.65999999997</v>
      </c>
      <c r="BB355" s="3">
        <f t="shared" si="304"/>
        <v>205366.65999999997</v>
      </c>
      <c r="BC355" s="3">
        <f t="shared" si="304"/>
        <v>205366.65999999997</v>
      </c>
      <c r="BD355" s="3">
        <f>SUM(AR355:BC355)</f>
        <v>2462108.27</v>
      </c>
    </row>
    <row r="356" spans="1:56" ht="13.5" thickBot="1" x14ac:dyDescent="0.35">
      <c r="D356" s="13" t="s">
        <v>173</v>
      </c>
      <c r="E356" s="14">
        <f t="shared" ref="E356:P356" si="305">SUM(E353:E355)</f>
        <v>208246.25</v>
      </c>
      <c r="F356" s="14">
        <f t="shared" si="305"/>
        <v>207996.25</v>
      </c>
      <c r="G356" s="14">
        <f t="shared" si="305"/>
        <v>207996.25</v>
      </c>
      <c r="H356" s="14">
        <f t="shared" si="305"/>
        <v>207996.25</v>
      </c>
      <c r="I356" s="14">
        <f t="shared" si="305"/>
        <v>207996.25</v>
      </c>
      <c r="J356" s="14">
        <f t="shared" si="305"/>
        <v>208079.58000000002</v>
      </c>
      <c r="K356" s="14">
        <f t="shared" si="305"/>
        <v>208079.58000000002</v>
      </c>
      <c r="L356" s="14">
        <f t="shared" si="305"/>
        <v>208079.58000000002</v>
      </c>
      <c r="M356" s="14">
        <f t="shared" si="305"/>
        <v>208079.58000000002</v>
      </c>
      <c r="N356" s="14">
        <f t="shared" si="305"/>
        <v>208079.58000000002</v>
      </c>
      <c r="O356" s="14">
        <f t="shared" si="305"/>
        <v>208079.58000000002</v>
      </c>
      <c r="P356" s="14">
        <f t="shared" si="305"/>
        <v>208079.58000000002</v>
      </c>
      <c r="Q356" s="14">
        <f>SUM(Q353:Q355)</f>
        <v>2496788.3100000005</v>
      </c>
      <c r="R356" s="14">
        <f t="shared" ref="R356:AC356" si="306">SUM(R353:R355)</f>
        <v>208272.91</v>
      </c>
      <c r="S356" s="14">
        <f t="shared" si="306"/>
        <v>208022.91</v>
      </c>
      <c r="T356" s="14">
        <f t="shared" si="306"/>
        <v>208022.91</v>
      </c>
      <c r="U356" s="14">
        <f t="shared" si="306"/>
        <v>208022.91</v>
      </c>
      <c r="V356" s="14">
        <f t="shared" si="306"/>
        <v>208022.91</v>
      </c>
      <c r="W356" s="14">
        <f t="shared" si="306"/>
        <v>208377.08</v>
      </c>
      <c r="X356" s="14">
        <f t="shared" si="306"/>
        <v>208377.08</v>
      </c>
      <c r="Y356" s="14">
        <f t="shared" si="306"/>
        <v>208377.08</v>
      </c>
      <c r="Z356" s="14">
        <f t="shared" si="306"/>
        <v>208377.08</v>
      </c>
      <c r="AA356" s="14">
        <f t="shared" si="306"/>
        <v>208377.08</v>
      </c>
      <c r="AB356" s="14">
        <f t="shared" si="306"/>
        <v>208377.08</v>
      </c>
      <c r="AC356" s="14">
        <f t="shared" si="306"/>
        <v>208377.08</v>
      </c>
      <c r="AD356" s="14">
        <f>SUM(AD353:AD355)</f>
        <v>2499004.1100000003</v>
      </c>
      <c r="AE356" s="14">
        <f>SUM(AE353:AE355)</f>
        <v>208567.5</v>
      </c>
      <c r="AF356" s="14">
        <f>SUM(AF353:AF355)</f>
        <v>208317.5</v>
      </c>
      <c r="AG356" s="14">
        <f t="shared" ref="AG356:AP356" si="307">SUM(AG353:AG355)</f>
        <v>208317.5</v>
      </c>
      <c r="AH356" s="14">
        <f t="shared" si="307"/>
        <v>208317.5</v>
      </c>
      <c r="AI356" s="14">
        <f t="shared" si="307"/>
        <v>208317.5</v>
      </c>
      <c r="AJ356" s="14">
        <f t="shared" si="307"/>
        <v>208088.33000000002</v>
      </c>
      <c r="AK356" s="14">
        <f t="shared" si="307"/>
        <v>208088.33000000002</v>
      </c>
      <c r="AL356" s="14">
        <f t="shared" si="307"/>
        <v>208088.33000000002</v>
      </c>
      <c r="AM356" s="14">
        <f t="shared" si="307"/>
        <v>208088.33000000002</v>
      </c>
      <c r="AN356" s="14">
        <f t="shared" si="307"/>
        <v>208088.33000000002</v>
      </c>
      <c r="AO356" s="14">
        <f t="shared" si="307"/>
        <v>208088.33000000002</v>
      </c>
      <c r="AP356" s="14">
        <f t="shared" si="307"/>
        <v>208088.33000000002</v>
      </c>
      <c r="AQ356" s="22">
        <f>SUM(AQ353:AQ355)</f>
        <v>2498455.8100000005</v>
      </c>
      <c r="AR356" s="22">
        <f t="shared" ref="AR356:BD356" si="308">SUM(AR353:AR355)</f>
        <v>208275.41</v>
      </c>
      <c r="AS356" s="22">
        <f t="shared" si="308"/>
        <v>208025.41</v>
      </c>
      <c r="AT356" s="22">
        <f t="shared" si="308"/>
        <v>208025.41</v>
      </c>
      <c r="AU356" s="22">
        <f t="shared" si="308"/>
        <v>208025.41</v>
      </c>
      <c r="AV356" s="22">
        <f t="shared" si="308"/>
        <v>208025.41</v>
      </c>
      <c r="AW356" s="22">
        <f t="shared" si="308"/>
        <v>208483.73999999996</v>
      </c>
      <c r="AX356" s="22">
        <f t="shared" si="308"/>
        <v>208483.73999999996</v>
      </c>
      <c r="AY356" s="22">
        <f t="shared" si="308"/>
        <v>208483.73999999996</v>
      </c>
      <c r="AZ356" s="22">
        <f t="shared" si="308"/>
        <v>208483.73999999996</v>
      </c>
      <c r="BA356" s="22">
        <f t="shared" si="308"/>
        <v>208483.73999999996</v>
      </c>
      <c r="BB356" s="22">
        <f t="shared" si="308"/>
        <v>208483.73999999996</v>
      </c>
      <c r="BC356" s="22">
        <f t="shared" si="308"/>
        <v>208483.73999999996</v>
      </c>
      <c r="BD356" s="22">
        <f t="shared" si="308"/>
        <v>2499763.23</v>
      </c>
    </row>
    <row r="357" spans="1:56" x14ac:dyDescent="0.3">
      <c r="D357" s="15"/>
    </row>
    <row r="358" spans="1:56" ht="15.5" x14ac:dyDescent="0.35">
      <c r="C358" s="30" t="s">
        <v>6</v>
      </c>
      <c r="D358" s="10" t="s">
        <v>174</v>
      </c>
    </row>
    <row r="359" spans="1:56" x14ac:dyDescent="0.3">
      <c r="D359" s="8" t="s">
        <v>8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f>SUM(E359:P359)</f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/>
      <c r="X359" s="12"/>
      <c r="Y359" s="12"/>
      <c r="Z359" s="12"/>
      <c r="AA359" s="12"/>
      <c r="AB359" s="12"/>
      <c r="AC359" s="12"/>
      <c r="AD359" s="12">
        <f>SUM(R359:AC359)</f>
        <v>0</v>
      </c>
    </row>
    <row r="360" spans="1:56" x14ac:dyDescent="0.3">
      <c r="A360" t="s">
        <v>175</v>
      </c>
      <c r="D360" s="8" t="s">
        <v>9</v>
      </c>
      <c r="E360" s="11">
        <v>250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2">
        <f>SUM(E360:P360)</f>
        <v>250</v>
      </c>
      <c r="R360" s="11">
        <v>250</v>
      </c>
      <c r="AD360" s="12">
        <f>SUM(R360:AC360)</f>
        <v>250</v>
      </c>
    </row>
    <row r="361" spans="1:56" ht="13.5" thickBot="1" x14ac:dyDescent="0.35">
      <c r="D361" s="8" t="s">
        <v>10</v>
      </c>
      <c r="E361" s="11">
        <v>42189.21</v>
      </c>
      <c r="F361" s="11">
        <v>42134.34</v>
      </c>
      <c r="G361" s="11">
        <v>42330.48</v>
      </c>
      <c r="H361" s="11">
        <v>44542.77</v>
      </c>
      <c r="I361" s="11">
        <v>44005.47</v>
      </c>
      <c r="J361" s="11">
        <v>43943.76</v>
      </c>
      <c r="K361" s="11">
        <v>43882.04</v>
      </c>
      <c r="L361" s="11">
        <v>43820.33</v>
      </c>
      <c r="M361" s="11">
        <v>43758.62</v>
      </c>
      <c r="N361" s="11">
        <v>43696.91</v>
      </c>
      <c r="O361" s="11">
        <v>43635.19</v>
      </c>
      <c r="P361" s="11">
        <v>43573.48</v>
      </c>
      <c r="Q361" s="12">
        <f>SUM(E361:P361)</f>
        <v>521512.60000000003</v>
      </c>
      <c r="R361" s="11">
        <v>43511.77</v>
      </c>
      <c r="S361" s="11">
        <v>43450.05</v>
      </c>
      <c r="T361" s="11">
        <v>43596.34</v>
      </c>
      <c r="U361" s="11">
        <v>44580.93</v>
      </c>
      <c r="V361" s="11">
        <v>44014.02</v>
      </c>
      <c r="W361" s="11"/>
      <c r="X361" s="11"/>
      <c r="Y361" s="11"/>
      <c r="Z361" s="11"/>
      <c r="AA361" s="11"/>
      <c r="AB361" s="11"/>
      <c r="AC361" s="11"/>
      <c r="AD361" s="12">
        <f>SUM(R361:AC361)</f>
        <v>219153.11</v>
      </c>
    </row>
    <row r="362" spans="1:56" ht="13.5" thickBot="1" x14ac:dyDescent="0.35">
      <c r="D362" s="13" t="s">
        <v>176</v>
      </c>
      <c r="E362" s="14">
        <f t="shared" ref="E362:P362" si="309">SUM(E359:E361)</f>
        <v>42439.21</v>
      </c>
      <c r="F362" s="14">
        <f t="shared" si="309"/>
        <v>42134.34</v>
      </c>
      <c r="G362" s="14">
        <f t="shared" si="309"/>
        <v>42330.48</v>
      </c>
      <c r="H362" s="14">
        <f t="shared" si="309"/>
        <v>44542.77</v>
      </c>
      <c r="I362" s="14">
        <f t="shared" si="309"/>
        <v>44005.47</v>
      </c>
      <c r="J362" s="14">
        <f t="shared" si="309"/>
        <v>43943.76</v>
      </c>
      <c r="K362" s="14">
        <f t="shared" si="309"/>
        <v>43882.04</v>
      </c>
      <c r="L362" s="14">
        <f t="shared" si="309"/>
        <v>43820.33</v>
      </c>
      <c r="M362" s="14">
        <f t="shared" si="309"/>
        <v>43758.62</v>
      </c>
      <c r="N362" s="14">
        <f t="shared" si="309"/>
        <v>43696.91</v>
      </c>
      <c r="O362" s="14">
        <f t="shared" si="309"/>
        <v>43635.19</v>
      </c>
      <c r="P362" s="14">
        <f t="shared" si="309"/>
        <v>43573.48</v>
      </c>
      <c r="Q362" s="14">
        <f>SUM(Q359:Q361)</f>
        <v>521762.60000000003</v>
      </c>
      <c r="R362" s="14">
        <f t="shared" ref="R362:AC362" si="310">SUM(R359:R361)</f>
        <v>43761.77</v>
      </c>
      <c r="S362" s="14">
        <f t="shared" si="310"/>
        <v>43450.05</v>
      </c>
      <c r="T362" s="14">
        <f t="shared" si="310"/>
        <v>43596.34</v>
      </c>
      <c r="U362" s="14">
        <f t="shared" si="310"/>
        <v>44580.93</v>
      </c>
      <c r="V362" s="14">
        <f t="shared" si="310"/>
        <v>44014.02</v>
      </c>
      <c r="W362" s="14">
        <f t="shared" si="310"/>
        <v>0</v>
      </c>
      <c r="X362" s="14">
        <f t="shared" si="310"/>
        <v>0</v>
      </c>
      <c r="Y362" s="14">
        <f t="shared" si="310"/>
        <v>0</v>
      </c>
      <c r="Z362" s="14">
        <f t="shared" si="310"/>
        <v>0</v>
      </c>
      <c r="AA362" s="14">
        <f t="shared" si="310"/>
        <v>0</v>
      </c>
      <c r="AB362" s="14">
        <f t="shared" si="310"/>
        <v>0</v>
      </c>
      <c r="AC362" s="14">
        <f t="shared" si="310"/>
        <v>0</v>
      </c>
      <c r="AD362" s="14">
        <f>SUM(AD359:AD361)</f>
        <v>219403.11</v>
      </c>
    </row>
    <row r="363" spans="1:56" x14ac:dyDescent="0.3">
      <c r="D363" s="15"/>
    </row>
    <row r="364" spans="1:56" ht="15.5" x14ac:dyDescent="0.35">
      <c r="B364" s="1">
        <f>B352+1</f>
        <v>41</v>
      </c>
      <c r="C364" s="24" t="s">
        <v>14</v>
      </c>
      <c r="D364" s="25" t="s">
        <v>177</v>
      </c>
    </row>
    <row r="365" spans="1:56" x14ac:dyDescent="0.3">
      <c r="D365" s="8" t="s">
        <v>8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f>SUM(E365:P365)</f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f>SUM(R365:AC365)</f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>
        <v>0</v>
      </c>
      <c r="AN365" s="12">
        <v>0</v>
      </c>
      <c r="AO365" s="12">
        <v>0</v>
      </c>
      <c r="AP365" s="12">
        <v>0</v>
      </c>
      <c r="AQ365" s="3">
        <f>SUM(AE365:AP365)</f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3">
        <f>SUM(AR365:BC365)</f>
        <v>0</v>
      </c>
    </row>
    <row r="366" spans="1:56" x14ac:dyDescent="0.3">
      <c r="D366" s="8" t="s">
        <v>9</v>
      </c>
      <c r="E366" s="11">
        <v>250</v>
      </c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2">
        <f>SUM(E366:P366)</f>
        <v>250</v>
      </c>
      <c r="R366" s="11">
        <v>250</v>
      </c>
      <c r="AD366" s="12">
        <f>SUM(R366:AC366)</f>
        <v>250</v>
      </c>
      <c r="AE366" s="11">
        <v>250</v>
      </c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3">
        <f>SUM(AE366:AP366)</f>
        <v>250</v>
      </c>
      <c r="AR366" s="3">
        <v>250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3">
        <f>SUM(AR366:BC366)</f>
        <v>250</v>
      </c>
    </row>
    <row r="367" spans="1:56" ht="13.5" thickBot="1" x14ac:dyDescent="0.35">
      <c r="A367" t="s">
        <v>178</v>
      </c>
      <c r="D367" s="8" t="s">
        <v>10</v>
      </c>
      <c r="E367" s="12">
        <v>33982.839999999997</v>
      </c>
      <c r="F367" s="12">
        <v>33982.839999999997</v>
      </c>
      <c r="G367" s="12">
        <v>33982.839999999997</v>
      </c>
      <c r="H367" s="12">
        <v>33982.839999999997</v>
      </c>
      <c r="I367" s="12">
        <v>33982.839999999997</v>
      </c>
      <c r="J367" s="12">
        <v>33982.839999999997</v>
      </c>
      <c r="K367" s="12">
        <v>33982.839999999997</v>
      </c>
      <c r="L367" s="12">
        <v>33982.839999999997</v>
      </c>
      <c r="M367" s="12">
        <v>33982.839999999997</v>
      </c>
      <c r="N367" s="12">
        <v>33982.839999999997</v>
      </c>
      <c r="O367" s="12">
        <v>33982.839999999997</v>
      </c>
      <c r="P367" s="12">
        <v>33982.839999999997</v>
      </c>
      <c r="Q367" s="12">
        <f>SUM(E367:P367)</f>
        <v>407794.07999999984</v>
      </c>
      <c r="R367" s="12">
        <v>33982.839999999997</v>
      </c>
      <c r="S367" s="12">
        <v>33982.839999999997</v>
      </c>
      <c r="T367" s="12">
        <v>33982.839999999997</v>
      </c>
      <c r="U367" s="12">
        <v>33982.839999999997</v>
      </c>
      <c r="V367" s="12">
        <v>33982.839999999997</v>
      </c>
      <c r="W367" s="12">
        <v>33982.839999999997</v>
      </c>
      <c r="X367" s="12">
        <v>33982.839999999997</v>
      </c>
      <c r="Y367" s="12">
        <v>33982.839999999997</v>
      </c>
      <c r="Z367" s="12">
        <v>33982.839999999997</v>
      </c>
      <c r="AA367" s="12">
        <v>33982.839999999997</v>
      </c>
      <c r="AB367" s="12">
        <v>33982.839999999997</v>
      </c>
      <c r="AC367" s="12">
        <v>33982.839999999997</v>
      </c>
      <c r="AD367" s="12">
        <f>SUM(R367:AC367)</f>
        <v>407794.07999999984</v>
      </c>
      <c r="AE367" s="12">
        <v>33982.839999999997</v>
      </c>
      <c r="AF367" s="12">
        <v>33982.839999999997</v>
      </c>
      <c r="AG367" s="12">
        <v>33982.839999999997</v>
      </c>
      <c r="AH367" s="12">
        <v>33982.839999999997</v>
      </c>
      <c r="AI367" s="12">
        <v>33982.839999999997</v>
      </c>
      <c r="AJ367" s="12">
        <v>33982.839999999997</v>
      </c>
      <c r="AK367" s="12">
        <v>33982.839999999997</v>
      </c>
      <c r="AL367" s="12">
        <v>33982.839999999997</v>
      </c>
      <c r="AM367" s="12">
        <v>33982.839999999997</v>
      </c>
      <c r="AN367" s="12">
        <v>33982.839999999997</v>
      </c>
      <c r="AO367" s="12">
        <v>33982.839999999997</v>
      </c>
      <c r="AP367" s="12">
        <v>33982.839999999997</v>
      </c>
      <c r="AQ367" s="3">
        <f>SUM(AE367:AP367)</f>
        <v>407794.07999999984</v>
      </c>
      <c r="AR367" s="3">
        <v>33982.839999999997</v>
      </c>
      <c r="AS367" s="3">
        <v>33982.839999999997</v>
      </c>
      <c r="AT367" s="3">
        <v>33982.839999999997</v>
      </c>
      <c r="AU367" s="3">
        <v>33982.839999999997</v>
      </c>
      <c r="AV367" s="3">
        <v>33982.839999999997</v>
      </c>
      <c r="AW367" s="3">
        <v>33982.839999999997</v>
      </c>
      <c r="AX367" s="3">
        <v>33982.839999999997</v>
      </c>
      <c r="AY367" s="3">
        <v>33982.839999999997</v>
      </c>
      <c r="AZ367" s="3">
        <v>33982.839999999997</v>
      </c>
      <c r="BA367" s="3">
        <v>33982.839999999997</v>
      </c>
      <c r="BB367" s="3">
        <v>33982.839999999997</v>
      </c>
      <c r="BC367" s="3">
        <v>33982.839999999997</v>
      </c>
      <c r="BD367" s="3">
        <f>SUM(AR367:BC367)</f>
        <v>407794.07999999984</v>
      </c>
    </row>
    <row r="368" spans="1:56" ht="13.5" thickBot="1" x14ac:dyDescent="0.35">
      <c r="D368" s="13" t="s">
        <v>179</v>
      </c>
      <c r="E368" s="14">
        <f t="shared" ref="E368:P368" si="311">SUM(E365:E367)</f>
        <v>34232.839999999997</v>
      </c>
      <c r="F368" s="14">
        <f t="shared" si="311"/>
        <v>33982.839999999997</v>
      </c>
      <c r="G368" s="14">
        <f t="shared" si="311"/>
        <v>33982.839999999997</v>
      </c>
      <c r="H368" s="14">
        <f t="shared" si="311"/>
        <v>33982.839999999997</v>
      </c>
      <c r="I368" s="14">
        <f t="shared" si="311"/>
        <v>33982.839999999997</v>
      </c>
      <c r="J368" s="14">
        <f t="shared" si="311"/>
        <v>33982.839999999997</v>
      </c>
      <c r="K368" s="14">
        <f t="shared" si="311"/>
        <v>33982.839999999997</v>
      </c>
      <c r="L368" s="14">
        <f t="shared" si="311"/>
        <v>33982.839999999997</v>
      </c>
      <c r="M368" s="14">
        <f t="shared" si="311"/>
        <v>33982.839999999997</v>
      </c>
      <c r="N368" s="14">
        <f t="shared" si="311"/>
        <v>33982.839999999997</v>
      </c>
      <c r="O368" s="14">
        <f t="shared" si="311"/>
        <v>33982.839999999997</v>
      </c>
      <c r="P368" s="14">
        <f t="shared" si="311"/>
        <v>33982.839999999997</v>
      </c>
      <c r="Q368" s="14">
        <f>SUM(Q365:Q367)</f>
        <v>408044.07999999984</v>
      </c>
      <c r="R368" s="14">
        <f t="shared" ref="R368:AC368" si="312">SUM(R365:R367)</f>
        <v>34232.839999999997</v>
      </c>
      <c r="S368" s="14">
        <f t="shared" si="312"/>
        <v>33982.839999999997</v>
      </c>
      <c r="T368" s="14">
        <f t="shared" si="312"/>
        <v>33982.839999999997</v>
      </c>
      <c r="U368" s="14">
        <f t="shared" si="312"/>
        <v>33982.839999999997</v>
      </c>
      <c r="V368" s="14">
        <f t="shared" si="312"/>
        <v>33982.839999999997</v>
      </c>
      <c r="W368" s="14">
        <f t="shared" si="312"/>
        <v>33982.839999999997</v>
      </c>
      <c r="X368" s="14">
        <f t="shared" si="312"/>
        <v>33982.839999999997</v>
      </c>
      <c r="Y368" s="14">
        <f t="shared" si="312"/>
        <v>33982.839999999997</v>
      </c>
      <c r="Z368" s="14">
        <f t="shared" si="312"/>
        <v>33982.839999999997</v>
      </c>
      <c r="AA368" s="14">
        <f t="shared" si="312"/>
        <v>33982.839999999997</v>
      </c>
      <c r="AB368" s="14">
        <f t="shared" si="312"/>
        <v>33982.839999999997</v>
      </c>
      <c r="AC368" s="14">
        <f t="shared" si="312"/>
        <v>33982.839999999997</v>
      </c>
      <c r="AD368" s="14">
        <f>SUM(AD365:AD367)</f>
        <v>408044.07999999984</v>
      </c>
      <c r="AE368" s="14">
        <f>SUM(AE365:AE367)</f>
        <v>34232.839999999997</v>
      </c>
      <c r="AF368" s="14">
        <f>SUM(AF365:AF367)</f>
        <v>33982.839999999997</v>
      </c>
      <c r="AG368" s="14">
        <f t="shared" ref="AG368:AP368" si="313">SUM(AG365:AG367)</f>
        <v>33982.839999999997</v>
      </c>
      <c r="AH368" s="14">
        <f t="shared" si="313"/>
        <v>33982.839999999997</v>
      </c>
      <c r="AI368" s="14">
        <f t="shared" si="313"/>
        <v>33982.839999999997</v>
      </c>
      <c r="AJ368" s="14">
        <f t="shared" si="313"/>
        <v>33982.839999999997</v>
      </c>
      <c r="AK368" s="14">
        <f t="shared" si="313"/>
        <v>33982.839999999997</v>
      </c>
      <c r="AL368" s="14">
        <f t="shared" si="313"/>
        <v>33982.839999999997</v>
      </c>
      <c r="AM368" s="14">
        <f t="shared" si="313"/>
        <v>33982.839999999997</v>
      </c>
      <c r="AN368" s="14">
        <f t="shared" si="313"/>
        <v>33982.839999999997</v>
      </c>
      <c r="AO368" s="14">
        <f t="shared" si="313"/>
        <v>33982.839999999997</v>
      </c>
      <c r="AP368" s="14">
        <f t="shared" si="313"/>
        <v>33982.839999999997</v>
      </c>
      <c r="AQ368" s="22">
        <f>SUM(AQ365:AQ367)</f>
        <v>408044.07999999984</v>
      </c>
      <c r="AR368" s="22">
        <f t="shared" ref="AR368:BD368" si="314">SUM(AR365:AR367)</f>
        <v>34232.839999999997</v>
      </c>
      <c r="AS368" s="22">
        <f t="shared" si="314"/>
        <v>33982.839999999997</v>
      </c>
      <c r="AT368" s="22">
        <f t="shared" si="314"/>
        <v>33982.839999999997</v>
      </c>
      <c r="AU368" s="22">
        <f t="shared" si="314"/>
        <v>33982.839999999997</v>
      </c>
      <c r="AV368" s="22">
        <f t="shared" si="314"/>
        <v>33982.839999999997</v>
      </c>
      <c r="AW368" s="22">
        <f t="shared" si="314"/>
        <v>33982.839999999997</v>
      </c>
      <c r="AX368" s="22">
        <f t="shared" si="314"/>
        <v>33982.839999999997</v>
      </c>
      <c r="AY368" s="22">
        <f t="shared" si="314"/>
        <v>33982.839999999997</v>
      </c>
      <c r="AZ368" s="22">
        <f t="shared" si="314"/>
        <v>33982.839999999997</v>
      </c>
      <c r="BA368" s="22">
        <f t="shared" si="314"/>
        <v>33982.839999999997</v>
      </c>
      <c r="BB368" s="22">
        <f t="shared" si="314"/>
        <v>33982.839999999997</v>
      </c>
      <c r="BC368" s="22">
        <f t="shared" si="314"/>
        <v>33982.839999999997</v>
      </c>
      <c r="BD368" s="22">
        <f t="shared" si="314"/>
        <v>408044.07999999984</v>
      </c>
    </row>
    <row r="369" spans="1:56" x14ac:dyDescent="0.3">
      <c r="D369" s="15"/>
    </row>
    <row r="370" spans="1:56" ht="15.5" x14ac:dyDescent="0.35">
      <c r="B370" s="1">
        <f>B364+1</f>
        <v>42</v>
      </c>
      <c r="C370" s="24" t="s">
        <v>14</v>
      </c>
      <c r="D370" s="25" t="s">
        <v>180</v>
      </c>
    </row>
    <row r="371" spans="1:56" x14ac:dyDescent="0.3">
      <c r="D371" s="8" t="s">
        <v>8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f>SUM(E371:P371)</f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f>SUM(R371:AC371)</f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0</v>
      </c>
      <c r="AK371" s="12">
        <v>0</v>
      </c>
      <c r="AL371" s="12">
        <v>0</v>
      </c>
      <c r="AM371" s="12">
        <v>0</v>
      </c>
      <c r="AN371" s="12">
        <v>0</v>
      </c>
      <c r="AO371" s="12">
        <v>0</v>
      </c>
      <c r="AP371" s="12">
        <v>0</v>
      </c>
      <c r="AQ371" s="3">
        <f>SUM(AE371:AP371)</f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0</v>
      </c>
      <c r="BA371" s="3">
        <v>0</v>
      </c>
      <c r="BB371" s="3">
        <v>0</v>
      </c>
      <c r="BC371" s="3">
        <v>0</v>
      </c>
      <c r="BD371" s="3">
        <f>SUM(AR371:BC371)</f>
        <v>0</v>
      </c>
    </row>
    <row r="372" spans="1:56" x14ac:dyDescent="0.3">
      <c r="D372" s="8" t="s">
        <v>9</v>
      </c>
      <c r="E372" s="11">
        <v>250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2">
        <f>SUM(E372:P372)</f>
        <v>250</v>
      </c>
      <c r="R372" s="11">
        <v>250</v>
      </c>
      <c r="AD372" s="12">
        <f>SUM(R372:AC372)</f>
        <v>250</v>
      </c>
      <c r="AE372" s="11">
        <v>250</v>
      </c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3">
        <f>SUM(AE372:AP372)</f>
        <v>250</v>
      </c>
      <c r="AR372" s="3">
        <v>250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f>SUM(AR372:BC372)</f>
        <v>250</v>
      </c>
    </row>
    <row r="373" spans="1:56" ht="13.5" thickBot="1" x14ac:dyDescent="0.35">
      <c r="A373" t="s">
        <v>181</v>
      </c>
      <c r="D373" s="8" t="s">
        <v>10</v>
      </c>
      <c r="E373" s="11">
        <f>35000+76560</f>
        <v>111560</v>
      </c>
      <c r="F373" s="11">
        <f>35000+76560.01</f>
        <v>111560.01</v>
      </c>
      <c r="G373" s="11">
        <f>35000+76179.38</f>
        <v>111179.38</v>
      </c>
      <c r="H373" s="11">
        <f>35000+76179.38</f>
        <v>111179.38</v>
      </c>
      <c r="I373" s="11">
        <f>35000+76179.37</f>
        <v>111179.37</v>
      </c>
      <c r="J373" s="11">
        <f>35000+75798.75</f>
        <v>110798.75</v>
      </c>
      <c r="K373" s="11">
        <f>35000+75798.75</f>
        <v>110798.75</v>
      </c>
      <c r="L373" s="11">
        <f>35000+75798.75</f>
        <v>110798.75</v>
      </c>
      <c r="M373" s="11">
        <f>35000+75418.13</f>
        <v>110418.13</v>
      </c>
      <c r="N373" s="11">
        <f>35000+75418.13</f>
        <v>110418.13</v>
      </c>
      <c r="O373" s="11">
        <f>35000+75418.12</f>
        <v>110418.12</v>
      </c>
      <c r="P373" s="11">
        <f>36666.67+75037.5</f>
        <v>111704.17</v>
      </c>
      <c r="Q373" s="12">
        <f>SUM(E373:P373)</f>
        <v>1332012.94</v>
      </c>
      <c r="R373" s="11">
        <f>36666.67+75037.5</f>
        <v>111704.17</v>
      </c>
      <c r="S373" s="11">
        <f>36666.66+75037.5</f>
        <v>111704.16</v>
      </c>
      <c r="T373" s="11">
        <f>36666.67+74638.75</f>
        <v>111305.42</v>
      </c>
      <c r="U373" s="11">
        <f>36666.67+74638.75</f>
        <v>111305.42</v>
      </c>
      <c r="V373" s="11">
        <f>36666.66+74638.75</f>
        <v>111305.41</v>
      </c>
      <c r="W373" s="11">
        <f>36666.67+74240</f>
        <v>110906.67</v>
      </c>
      <c r="X373" s="11">
        <f>36666.67+74240</f>
        <v>110906.67</v>
      </c>
      <c r="Y373" s="11">
        <f>36666.66+74240.01</f>
        <v>110906.67</v>
      </c>
      <c r="Z373" s="11">
        <f>36666.67+73841.25</f>
        <v>110507.92</v>
      </c>
      <c r="AA373" s="11">
        <f>36666.67+73841.25</f>
        <v>110507.92</v>
      </c>
      <c r="AB373" s="11">
        <f>36666.66+73841.25</f>
        <v>110507.91</v>
      </c>
      <c r="AC373" s="11">
        <f>38333.33+73442.5</f>
        <v>111775.83</v>
      </c>
      <c r="AD373" s="12">
        <f>SUM(R373:AC373)</f>
        <v>1333344.1700000002</v>
      </c>
      <c r="AE373" s="11">
        <f>38333.33+73442.5</f>
        <v>111775.83</v>
      </c>
      <c r="AF373" s="11">
        <f>38333.34+73442.5</f>
        <v>111775.84</v>
      </c>
      <c r="AG373" s="12">
        <f>38333.33+73025.63</f>
        <v>111358.96</v>
      </c>
      <c r="AH373" s="12">
        <f>38333.33+73025.63</f>
        <v>111358.96</v>
      </c>
      <c r="AI373" s="12">
        <f>38333.34+73025.62</f>
        <v>111358.95999999999</v>
      </c>
      <c r="AJ373" s="12">
        <f>38333.33+72608.75</f>
        <v>110942.08</v>
      </c>
      <c r="AK373" s="12">
        <f>38333.33+72608.75</f>
        <v>110942.08</v>
      </c>
      <c r="AL373" s="12">
        <f>38333.34+72608.76</f>
        <v>110942.09999999999</v>
      </c>
      <c r="AM373" s="12">
        <f>38333.33+72191.88</f>
        <v>110525.21</v>
      </c>
      <c r="AN373" s="12">
        <f>38333.33+72191.88</f>
        <v>110525.21</v>
      </c>
      <c r="AO373" s="12">
        <f>38333.34+72191.87</f>
        <v>110525.20999999999</v>
      </c>
      <c r="AP373" s="12">
        <f>40000+71775</f>
        <v>111775</v>
      </c>
      <c r="AQ373" s="3">
        <f>SUM(AE373:AP373)</f>
        <v>1333805.44</v>
      </c>
      <c r="AR373" s="60">
        <f>41666.67+70035</f>
        <v>111701.67</v>
      </c>
      <c r="AS373" s="62">
        <f>40000+71775.01+73.33</f>
        <v>111848.34</v>
      </c>
      <c r="AT373" s="3">
        <f>40000+71340</f>
        <v>111340</v>
      </c>
      <c r="AU373" s="3">
        <f>40000+71340</f>
        <v>111340</v>
      </c>
      <c r="AV373" s="3">
        <f>40000+71340</f>
        <v>111340</v>
      </c>
      <c r="AW373" s="3">
        <f>40000+70905</f>
        <v>110905</v>
      </c>
      <c r="AX373" s="3">
        <f>40000+70905</f>
        <v>110905</v>
      </c>
      <c r="AY373" s="3">
        <f>40000+70905</f>
        <v>110905</v>
      </c>
      <c r="AZ373" s="3">
        <f>40000+70470</f>
        <v>110470</v>
      </c>
      <c r="BA373" s="3">
        <f>40000+70470</f>
        <v>110470</v>
      </c>
      <c r="BB373" s="3">
        <f>40000+70470.01</f>
        <v>110470.01</v>
      </c>
      <c r="BC373" s="3">
        <f>41666.67+70035</f>
        <v>111701.67</v>
      </c>
      <c r="BD373" s="3">
        <f>SUM(AR373:BC373)</f>
        <v>1333396.69</v>
      </c>
    </row>
    <row r="374" spans="1:56" ht="13.5" thickBot="1" x14ac:dyDescent="0.35">
      <c r="D374" s="13" t="s">
        <v>182</v>
      </c>
      <c r="E374" s="14">
        <f t="shared" ref="E374:P374" si="315">SUM(E371:E373)</f>
        <v>111810</v>
      </c>
      <c r="F374" s="14">
        <f t="shared" si="315"/>
        <v>111560.01</v>
      </c>
      <c r="G374" s="14">
        <f t="shared" si="315"/>
        <v>111179.38</v>
      </c>
      <c r="H374" s="14">
        <f t="shared" si="315"/>
        <v>111179.38</v>
      </c>
      <c r="I374" s="14">
        <f t="shared" si="315"/>
        <v>111179.37</v>
      </c>
      <c r="J374" s="14">
        <f t="shared" si="315"/>
        <v>110798.75</v>
      </c>
      <c r="K374" s="14">
        <f t="shared" si="315"/>
        <v>110798.75</v>
      </c>
      <c r="L374" s="14">
        <f t="shared" si="315"/>
        <v>110798.75</v>
      </c>
      <c r="M374" s="14">
        <f t="shared" si="315"/>
        <v>110418.13</v>
      </c>
      <c r="N374" s="14">
        <f t="shared" si="315"/>
        <v>110418.13</v>
      </c>
      <c r="O374" s="14">
        <f t="shared" si="315"/>
        <v>110418.12</v>
      </c>
      <c r="P374" s="14">
        <f t="shared" si="315"/>
        <v>111704.17</v>
      </c>
      <c r="Q374" s="14">
        <f>SUM(Q371:Q373)</f>
        <v>1332262.94</v>
      </c>
      <c r="R374" s="14">
        <f t="shared" ref="R374:AC374" si="316">SUM(R371:R373)</f>
        <v>111954.17</v>
      </c>
      <c r="S374" s="14">
        <f t="shared" si="316"/>
        <v>111704.16</v>
      </c>
      <c r="T374" s="14">
        <f t="shared" si="316"/>
        <v>111305.42</v>
      </c>
      <c r="U374" s="14">
        <f t="shared" si="316"/>
        <v>111305.42</v>
      </c>
      <c r="V374" s="14">
        <f t="shared" si="316"/>
        <v>111305.41</v>
      </c>
      <c r="W374" s="14">
        <f t="shared" si="316"/>
        <v>110906.67</v>
      </c>
      <c r="X374" s="14">
        <f t="shared" si="316"/>
        <v>110906.67</v>
      </c>
      <c r="Y374" s="14">
        <f t="shared" si="316"/>
        <v>110906.67</v>
      </c>
      <c r="Z374" s="14">
        <f t="shared" si="316"/>
        <v>110507.92</v>
      </c>
      <c r="AA374" s="14">
        <f t="shared" si="316"/>
        <v>110507.92</v>
      </c>
      <c r="AB374" s="14">
        <f t="shared" si="316"/>
        <v>110507.91</v>
      </c>
      <c r="AC374" s="14">
        <f t="shared" si="316"/>
        <v>111775.83</v>
      </c>
      <c r="AD374" s="14">
        <f>SUM(AD371:AD373)</f>
        <v>1333594.1700000002</v>
      </c>
      <c r="AE374" s="14">
        <f>SUM(AE371:AE373)</f>
        <v>112025.83</v>
      </c>
      <c r="AF374" s="14">
        <f>SUM(AF371:AF373)</f>
        <v>111775.84</v>
      </c>
      <c r="AG374" s="14">
        <f t="shared" ref="AG374:AP374" si="317">SUM(AG371:AG373)</f>
        <v>111358.96</v>
      </c>
      <c r="AH374" s="14">
        <f t="shared" si="317"/>
        <v>111358.96</v>
      </c>
      <c r="AI374" s="14">
        <f t="shared" si="317"/>
        <v>111358.95999999999</v>
      </c>
      <c r="AJ374" s="14">
        <f t="shared" si="317"/>
        <v>110942.08</v>
      </c>
      <c r="AK374" s="14">
        <f t="shared" si="317"/>
        <v>110942.08</v>
      </c>
      <c r="AL374" s="14">
        <f t="shared" si="317"/>
        <v>110942.09999999999</v>
      </c>
      <c r="AM374" s="14">
        <f t="shared" si="317"/>
        <v>110525.21</v>
      </c>
      <c r="AN374" s="14">
        <f t="shared" si="317"/>
        <v>110525.21</v>
      </c>
      <c r="AO374" s="14">
        <f t="shared" si="317"/>
        <v>110525.20999999999</v>
      </c>
      <c r="AP374" s="14">
        <f t="shared" si="317"/>
        <v>111775</v>
      </c>
      <c r="AQ374" s="22">
        <f>SUM(AQ371:AQ373)</f>
        <v>1334055.44</v>
      </c>
      <c r="AR374" s="22">
        <f t="shared" ref="AR374:BD374" si="318">SUM(AR371:AR373)</f>
        <v>111951.67</v>
      </c>
      <c r="AS374" s="22">
        <f t="shared" si="318"/>
        <v>111848.34</v>
      </c>
      <c r="AT374" s="22">
        <f t="shared" si="318"/>
        <v>111340</v>
      </c>
      <c r="AU374" s="22">
        <f t="shared" si="318"/>
        <v>111340</v>
      </c>
      <c r="AV374" s="22">
        <f t="shared" si="318"/>
        <v>111340</v>
      </c>
      <c r="AW374" s="22">
        <f t="shared" si="318"/>
        <v>110905</v>
      </c>
      <c r="AX374" s="22">
        <f t="shared" si="318"/>
        <v>110905</v>
      </c>
      <c r="AY374" s="22">
        <f t="shared" si="318"/>
        <v>110905</v>
      </c>
      <c r="AZ374" s="22">
        <f t="shared" si="318"/>
        <v>110470</v>
      </c>
      <c r="BA374" s="22">
        <f t="shared" si="318"/>
        <v>110470</v>
      </c>
      <c r="BB374" s="22">
        <f t="shared" si="318"/>
        <v>110470.01</v>
      </c>
      <c r="BC374" s="22">
        <f t="shared" si="318"/>
        <v>111701.67</v>
      </c>
      <c r="BD374" s="22">
        <f t="shared" si="318"/>
        <v>1333646.69</v>
      </c>
    </row>
    <row r="375" spans="1:56" x14ac:dyDescent="0.3">
      <c r="D375" s="15"/>
    </row>
    <row r="376" spans="1:56" ht="15.5" x14ac:dyDescent="0.35">
      <c r="B376" s="1">
        <f>B370+1</f>
        <v>43</v>
      </c>
      <c r="C376" s="24" t="s">
        <v>14</v>
      </c>
      <c r="D376" s="25" t="s">
        <v>183</v>
      </c>
    </row>
    <row r="377" spans="1:56" x14ac:dyDescent="0.3">
      <c r="D377" s="8" t="s">
        <v>8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f>SUM(E377:P377)</f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f>SUM(R377:AC377)</f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0</v>
      </c>
      <c r="AK377" s="12">
        <v>0</v>
      </c>
      <c r="AL377" s="12">
        <v>0</v>
      </c>
      <c r="AM377" s="12">
        <v>0</v>
      </c>
      <c r="AN377" s="12">
        <v>0</v>
      </c>
      <c r="AO377" s="12">
        <v>0</v>
      </c>
      <c r="AP377" s="12">
        <v>0</v>
      </c>
      <c r="AQ377" s="3">
        <f>SUM(AE377:AP377)</f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0</v>
      </c>
      <c r="BA377" s="3">
        <v>0</v>
      </c>
      <c r="BB377" s="3">
        <v>0</v>
      </c>
      <c r="BC377" s="3">
        <v>0</v>
      </c>
      <c r="BD377" s="3">
        <f>SUM(AR377:BC377)</f>
        <v>0</v>
      </c>
    </row>
    <row r="378" spans="1:56" x14ac:dyDescent="0.3">
      <c r="D378" s="8" t="s">
        <v>9</v>
      </c>
      <c r="E378" s="11">
        <v>250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2">
        <f>SUM(E378:P378)</f>
        <v>250</v>
      </c>
      <c r="R378" s="11">
        <v>250</v>
      </c>
      <c r="AD378" s="12">
        <f>SUM(R378:AC378)</f>
        <v>250</v>
      </c>
      <c r="AE378" s="11">
        <v>250</v>
      </c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3">
        <f>SUM(AE378:AP378)</f>
        <v>250</v>
      </c>
      <c r="AR378" s="3">
        <v>250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0</v>
      </c>
      <c r="BA378" s="3">
        <v>0</v>
      </c>
      <c r="BB378" s="3">
        <v>0</v>
      </c>
      <c r="BC378" s="3">
        <v>0</v>
      </c>
      <c r="BD378" s="3">
        <f>SUM(AR378:BC378)</f>
        <v>250</v>
      </c>
    </row>
    <row r="379" spans="1:56" ht="13.5" thickBot="1" x14ac:dyDescent="0.35">
      <c r="A379" t="s">
        <v>184</v>
      </c>
      <c r="D379" s="8" t="s">
        <v>10</v>
      </c>
      <c r="E379" s="12">
        <v>52815.46</v>
      </c>
      <c r="F379" s="12">
        <v>52815.46</v>
      </c>
      <c r="G379" s="12">
        <v>52815.46</v>
      </c>
      <c r="H379" s="12">
        <v>52815.46</v>
      </c>
      <c r="I379" s="12">
        <v>52815.46</v>
      </c>
      <c r="J379" s="12">
        <v>52815.46</v>
      </c>
      <c r="K379" s="12">
        <v>52815.46</v>
      </c>
      <c r="L379" s="12">
        <v>52815.46</v>
      </c>
      <c r="M379" s="12">
        <v>52815.46</v>
      </c>
      <c r="N379" s="12">
        <v>52815.46</v>
      </c>
      <c r="O379" s="12">
        <v>52815.46</v>
      </c>
      <c r="P379" s="12">
        <v>52815.46</v>
      </c>
      <c r="Q379" s="12">
        <f>SUM(E379:P379)</f>
        <v>633785.52</v>
      </c>
      <c r="R379" s="12">
        <v>52815.46</v>
      </c>
      <c r="S379" s="12">
        <v>52815.46</v>
      </c>
      <c r="T379" s="12">
        <v>52815.46</v>
      </c>
      <c r="U379" s="12">
        <v>52815.46</v>
      </c>
      <c r="V379" s="12">
        <v>52815.46</v>
      </c>
      <c r="W379" s="12">
        <v>52815.46</v>
      </c>
      <c r="X379" s="12">
        <v>52815.46</v>
      </c>
      <c r="Y379" s="12">
        <v>52815.46</v>
      </c>
      <c r="Z379" s="12">
        <v>52815.46</v>
      </c>
      <c r="AA379" s="12">
        <v>52815.46</v>
      </c>
      <c r="AB379" s="12">
        <v>52815.46</v>
      </c>
      <c r="AC379" s="12">
        <v>52815.46</v>
      </c>
      <c r="AD379" s="12">
        <f>SUM(R379:AC379)</f>
        <v>633785.52</v>
      </c>
      <c r="AE379" s="12">
        <v>52815.46</v>
      </c>
      <c r="AF379" s="12">
        <v>52815.46</v>
      </c>
      <c r="AG379" s="12">
        <v>52815.46</v>
      </c>
      <c r="AH379" s="12">
        <v>52815.46</v>
      </c>
      <c r="AI379" s="12">
        <v>52815.46</v>
      </c>
      <c r="AJ379" s="12">
        <v>52815.46</v>
      </c>
      <c r="AK379" s="12">
        <v>52815.46</v>
      </c>
      <c r="AL379" s="12">
        <v>52815.46</v>
      </c>
      <c r="AM379" s="12">
        <v>52815.46</v>
      </c>
      <c r="AN379" s="12">
        <v>52815.46</v>
      </c>
      <c r="AO379" s="12">
        <v>52815.46</v>
      </c>
      <c r="AP379" s="12">
        <v>52815.46</v>
      </c>
      <c r="AQ379" s="3">
        <f>SUM(AE379:AP379)</f>
        <v>633785.52</v>
      </c>
      <c r="AR379" s="3">
        <v>52815.46</v>
      </c>
      <c r="AS379" s="3">
        <v>52815.46</v>
      </c>
      <c r="AT379" s="3">
        <v>52815.46</v>
      </c>
      <c r="AU379" s="3">
        <v>52815.46</v>
      </c>
      <c r="AV379" s="3">
        <v>52815.46</v>
      </c>
      <c r="AW379" s="3">
        <v>52815.46</v>
      </c>
      <c r="AX379" s="3">
        <v>52815.46</v>
      </c>
      <c r="AY379" s="3">
        <v>52815.46</v>
      </c>
      <c r="AZ379" s="3">
        <v>52815.46</v>
      </c>
      <c r="BA379" s="3">
        <v>52815.46</v>
      </c>
      <c r="BB379" s="3">
        <v>52815.46</v>
      </c>
      <c r="BC379" s="3">
        <v>52815.46</v>
      </c>
      <c r="BD379" s="3">
        <f>SUM(AR379:BC379)</f>
        <v>633785.52</v>
      </c>
    </row>
    <row r="380" spans="1:56" ht="13.5" thickBot="1" x14ac:dyDescent="0.35">
      <c r="D380" s="13" t="s">
        <v>185</v>
      </c>
      <c r="E380" s="14">
        <f t="shared" ref="E380:P380" si="319">SUM(E377:E379)</f>
        <v>53065.46</v>
      </c>
      <c r="F380" s="14">
        <f t="shared" si="319"/>
        <v>52815.46</v>
      </c>
      <c r="G380" s="14">
        <f t="shared" si="319"/>
        <v>52815.46</v>
      </c>
      <c r="H380" s="14">
        <f t="shared" si="319"/>
        <v>52815.46</v>
      </c>
      <c r="I380" s="14">
        <f t="shared" si="319"/>
        <v>52815.46</v>
      </c>
      <c r="J380" s="14">
        <f t="shared" si="319"/>
        <v>52815.46</v>
      </c>
      <c r="K380" s="14">
        <f t="shared" si="319"/>
        <v>52815.46</v>
      </c>
      <c r="L380" s="14">
        <f t="shared" si="319"/>
        <v>52815.46</v>
      </c>
      <c r="M380" s="14">
        <f t="shared" si="319"/>
        <v>52815.46</v>
      </c>
      <c r="N380" s="14">
        <f t="shared" si="319"/>
        <v>52815.46</v>
      </c>
      <c r="O380" s="14">
        <f t="shared" si="319"/>
        <v>52815.46</v>
      </c>
      <c r="P380" s="14">
        <f t="shared" si="319"/>
        <v>52815.46</v>
      </c>
      <c r="Q380" s="14">
        <f>SUM(Q377:Q379)</f>
        <v>634035.52</v>
      </c>
      <c r="R380" s="14">
        <f t="shared" ref="R380:AC380" si="320">SUM(R377:R379)</f>
        <v>53065.46</v>
      </c>
      <c r="S380" s="14">
        <f t="shared" si="320"/>
        <v>52815.46</v>
      </c>
      <c r="T380" s="14">
        <f t="shared" si="320"/>
        <v>52815.46</v>
      </c>
      <c r="U380" s="14">
        <f t="shared" si="320"/>
        <v>52815.46</v>
      </c>
      <c r="V380" s="14">
        <f t="shared" si="320"/>
        <v>52815.46</v>
      </c>
      <c r="W380" s="14">
        <f t="shared" si="320"/>
        <v>52815.46</v>
      </c>
      <c r="X380" s="14">
        <f t="shared" si="320"/>
        <v>52815.46</v>
      </c>
      <c r="Y380" s="14">
        <f t="shared" si="320"/>
        <v>52815.46</v>
      </c>
      <c r="Z380" s="14">
        <f t="shared" si="320"/>
        <v>52815.46</v>
      </c>
      <c r="AA380" s="14">
        <f t="shared" si="320"/>
        <v>52815.46</v>
      </c>
      <c r="AB380" s="14">
        <f t="shared" si="320"/>
        <v>52815.46</v>
      </c>
      <c r="AC380" s="14">
        <f t="shared" si="320"/>
        <v>52815.46</v>
      </c>
      <c r="AD380" s="14">
        <f>SUM(AD377:AD379)</f>
        <v>634035.52</v>
      </c>
      <c r="AE380" s="14">
        <f>SUM(AE377:AE379)</f>
        <v>53065.46</v>
      </c>
      <c r="AF380" s="14">
        <f>SUM(AF377:AF379)</f>
        <v>52815.46</v>
      </c>
      <c r="AG380" s="14">
        <f t="shared" ref="AG380:AP380" si="321">SUM(AG377:AG379)</f>
        <v>52815.46</v>
      </c>
      <c r="AH380" s="14">
        <f t="shared" si="321"/>
        <v>52815.46</v>
      </c>
      <c r="AI380" s="14">
        <f t="shared" si="321"/>
        <v>52815.46</v>
      </c>
      <c r="AJ380" s="14">
        <f t="shared" si="321"/>
        <v>52815.46</v>
      </c>
      <c r="AK380" s="14">
        <f t="shared" si="321"/>
        <v>52815.46</v>
      </c>
      <c r="AL380" s="14">
        <f t="shared" si="321"/>
        <v>52815.46</v>
      </c>
      <c r="AM380" s="14">
        <f t="shared" si="321"/>
        <v>52815.46</v>
      </c>
      <c r="AN380" s="14">
        <f t="shared" si="321"/>
        <v>52815.46</v>
      </c>
      <c r="AO380" s="14">
        <f t="shared" si="321"/>
        <v>52815.46</v>
      </c>
      <c r="AP380" s="14">
        <f t="shared" si="321"/>
        <v>52815.46</v>
      </c>
      <c r="AQ380" s="22">
        <f>SUM(AQ377:AQ379)</f>
        <v>634035.52</v>
      </c>
      <c r="AR380" s="22">
        <f t="shared" ref="AR380:BD380" si="322">SUM(AR377:AR379)</f>
        <v>53065.46</v>
      </c>
      <c r="AS380" s="22">
        <f t="shared" si="322"/>
        <v>52815.46</v>
      </c>
      <c r="AT380" s="22">
        <f t="shared" si="322"/>
        <v>52815.46</v>
      </c>
      <c r="AU380" s="22">
        <f t="shared" si="322"/>
        <v>52815.46</v>
      </c>
      <c r="AV380" s="22">
        <f t="shared" si="322"/>
        <v>52815.46</v>
      </c>
      <c r="AW380" s="22">
        <f t="shared" si="322"/>
        <v>52815.46</v>
      </c>
      <c r="AX380" s="22">
        <f t="shared" si="322"/>
        <v>52815.46</v>
      </c>
      <c r="AY380" s="22">
        <f t="shared" si="322"/>
        <v>52815.46</v>
      </c>
      <c r="AZ380" s="22">
        <f t="shared" si="322"/>
        <v>52815.46</v>
      </c>
      <c r="BA380" s="22">
        <f t="shared" si="322"/>
        <v>52815.46</v>
      </c>
      <c r="BB380" s="22">
        <f t="shared" si="322"/>
        <v>52815.46</v>
      </c>
      <c r="BC380" s="22">
        <f t="shared" si="322"/>
        <v>52815.46</v>
      </c>
      <c r="BD380" s="22">
        <f t="shared" si="322"/>
        <v>634035.52</v>
      </c>
    </row>
    <row r="381" spans="1:56" x14ac:dyDescent="0.3">
      <c r="D381" s="15"/>
    </row>
    <row r="382" spans="1:56" ht="15.5" x14ac:dyDescent="0.35">
      <c r="C382" s="30" t="s">
        <v>6</v>
      </c>
      <c r="D382" s="10" t="s">
        <v>186</v>
      </c>
    </row>
    <row r="383" spans="1:56" x14ac:dyDescent="0.3">
      <c r="D383" s="8" t="s">
        <v>8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/>
      <c r="Q383" s="12">
        <f>SUM(E383:P383)</f>
        <v>0</v>
      </c>
    </row>
    <row r="384" spans="1:56" x14ac:dyDescent="0.3">
      <c r="D384" s="8" t="s">
        <v>9</v>
      </c>
      <c r="E384" s="11">
        <v>250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2">
        <f>SUM(E384:P384)</f>
        <v>250</v>
      </c>
    </row>
    <row r="385" spans="1:17" ht="13.5" thickBot="1" x14ac:dyDescent="0.35">
      <c r="A385" t="s">
        <v>187</v>
      </c>
      <c r="D385" s="8" t="s">
        <v>10</v>
      </c>
      <c r="E385" s="11">
        <f>25000+73961.25</f>
        <v>98961.25</v>
      </c>
      <c r="F385" s="11">
        <f t="shared" ref="F385:O385" si="323">25000+73961.25</f>
        <v>98961.25</v>
      </c>
      <c r="G385" s="11">
        <f t="shared" si="323"/>
        <v>98961.25</v>
      </c>
      <c r="H385" s="11">
        <f t="shared" si="323"/>
        <v>98961.25</v>
      </c>
      <c r="I385" s="11">
        <f t="shared" si="323"/>
        <v>98961.25</v>
      </c>
      <c r="J385" s="11">
        <f t="shared" si="323"/>
        <v>98961.25</v>
      </c>
      <c r="K385" s="11">
        <f t="shared" si="323"/>
        <v>98961.25</v>
      </c>
      <c r="L385" s="11">
        <f t="shared" si="323"/>
        <v>98961.25</v>
      </c>
      <c r="M385" s="11">
        <f t="shared" si="323"/>
        <v>98961.25</v>
      </c>
      <c r="N385" s="11">
        <f t="shared" si="323"/>
        <v>98961.25</v>
      </c>
      <c r="O385" s="11">
        <f t="shared" si="323"/>
        <v>98961.25</v>
      </c>
      <c r="P385" s="11"/>
      <c r="Q385" s="12">
        <f>SUM(E385:P385)</f>
        <v>1088573.75</v>
      </c>
    </row>
    <row r="386" spans="1:17" ht="13.5" thickBot="1" x14ac:dyDescent="0.35">
      <c r="D386" s="13" t="s">
        <v>188</v>
      </c>
      <c r="E386" s="14">
        <f t="shared" ref="E386:P386" si="324">SUM(E383:E385)</f>
        <v>99211.25</v>
      </c>
      <c r="F386" s="14">
        <f t="shared" si="324"/>
        <v>98961.25</v>
      </c>
      <c r="G386" s="14">
        <f t="shared" si="324"/>
        <v>98961.25</v>
      </c>
      <c r="H386" s="14">
        <f t="shared" si="324"/>
        <v>98961.25</v>
      </c>
      <c r="I386" s="14">
        <f t="shared" si="324"/>
        <v>98961.25</v>
      </c>
      <c r="J386" s="14">
        <f t="shared" si="324"/>
        <v>98961.25</v>
      </c>
      <c r="K386" s="14">
        <f t="shared" si="324"/>
        <v>98961.25</v>
      </c>
      <c r="L386" s="14">
        <f t="shared" si="324"/>
        <v>98961.25</v>
      </c>
      <c r="M386" s="14">
        <f t="shared" si="324"/>
        <v>98961.25</v>
      </c>
      <c r="N386" s="14">
        <f t="shared" si="324"/>
        <v>98961.25</v>
      </c>
      <c r="O386" s="14">
        <f t="shared" si="324"/>
        <v>98961.25</v>
      </c>
      <c r="P386" s="14">
        <f t="shared" si="324"/>
        <v>0</v>
      </c>
      <c r="Q386" s="14">
        <f>SUM(Q383:Q385)</f>
        <v>1088823.75</v>
      </c>
    </row>
    <row r="387" spans="1:17" x14ac:dyDescent="0.3">
      <c r="D387" s="15"/>
    </row>
    <row r="388" spans="1:17" ht="15.5" x14ac:dyDescent="0.35">
      <c r="C388" s="30" t="s">
        <v>6</v>
      </c>
      <c r="D388" s="10" t="s">
        <v>189</v>
      </c>
    </row>
    <row r="389" spans="1:17" x14ac:dyDescent="0.3">
      <c r="D389" s="8" t="s">
        <v>8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/>
      <c r="Q389" s="12">
        <f>SUM(E389:P389)</f>
        <v>0</v>
      </c>
    </row>
    <row r="390" spans="1:17" x14ac:dyDescent="0.3">
      <c r="D390" s="8" t="s">
        <v>9</v>
      </c>
      <c r="E390" s="11">
        <v>250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2">
        <f>SUM(E390:P390)</f>
        <v>250</v>
      </c>
    </row>
    <row r="391" spans="1:17" ht="13.5" thickBot="1" x14ac:dyDescent="0.35">
      <c r="A391" t="s">
        <v>190</v>
      </c>
      <c r="D391" s="8" t="s">
        <v>10</v>
      </c>
      <c r="E391" s="11">
        <f>15416.67+44220</f>
        <v>59636.67</v>
      </c>
      <c r="F391" s="11">
        <f t="shared" ref="F391:O391" si="325">15416.67+44220</f>
        <v>59636.67</v>
      </c>
      <c r="G391" s="11">
        <f t="shared" si="325"/>
        <v>59636.67</v>
      </c>
      <c r="H391" s="11">
        <f t="shared" si="325"/>
        <v>59636.67</v>
      </c>
      <c r="I391" s="11">
        <f t="shared" si="325"/>
        <v>59636.67</v>
      </c>
      <c r="J391" s="11">
        <f t="shared" si="325"/>
        <v>59636.67</v>
      </c>
      <c r="K391" s="11">
        <f t="shared" si="325"/>
        <v>59636.67</v>
      </c>
      <c r="L391" s="11">
        <f t="shared" si="325"/>
        <v>59636.67</v>
      </c>
      <c r="M391" s="11">
        <f t="shared" si="325"/>
        <v>59636.67</v>
      </c>
      <c r="N391" s="11">
        <f t="shared" si="325"/>
        <v>59636.67</v>
      </c>
      <c r="O391" s="11">
        <f t="shared" si="325"/>
        <v>59636.67</v>
      </c>
      <c r="P391" s="11"/>
      <c r="Q391" s="12">
        <f>SUM(E391:P391)</f>
        <v>656003.37</v>
      </c>
    </row>
    <row r="392" spans="1:17" ht="13.5" thickBot="1" x14ac:dyDescent="0.35">
      <c r="D392" s="13" t="s">
        <v>191</v>
      </c>
      <c r="E392" s="14">
        <f t="shared" ref="E392:P392" si="326">SUM(E389:E391)</f>
        <v>59886.67</v>
      </c>
      <c r="F392" s="14">
        <f t="shared" si="326"/>
        <v>59636.67</v>
      </c>
      <c r="G392" s="14">
        <f t="shared" si="326"/>
        <v>59636.67</v>
      </c>
      <c r="H392" s="14">
        <f t="shared" si="326"/>
        <v>59636.67</v>
      </c>
      <c r="I392" s="14">
        <f t="shared" si="326"/>
        <v>59636.67</v>
      </c>
      <c r="J392" s="14">
        <f t="shared" si="326"/>
        <v>59636.67</v>
      </c>
      <c r="K392" s="14">
        <f t="shared" si="326"/>
        <v>59636.67</v>
      </c>
      <c r="L392" s="14">
        <f t="shared" si="326"/>
        <v>59636.67</v>
      </c>
      <c r="M392" s="14">
        <f t="shared" si="326"/>
        <v>59636.67</v>
      </c>
      <c r="N392" s="14">
        <f t="shared" si="326"/>
        <v>59636.67</v>
      </c>
      <c r="O392" s="14">
        <f t="shared" si="326"/>
        <v>59636.67</v>
      </c>
      <c r="P392" s="14">
        <f t="shared" si="326"/>
        <v>0</v>
      </c>
      <c r="Q392" s="14">
        <f>SUM(Q389:Q391)</f>
        <v>656253.37</v>
      </c>
    </row>
    <row r="393" spans="1:17" x14ac:dyDescent="0.3">
      <c r="D393" s="15"/>
    </row>
    <row r="394" spans="1:17" ht="15.5" x14ac:dyDescent="0.35">
      <c r="C394" s="30" t="s">
        <v>6</v>
      </c>
      <c r="D394" s="10" t="s">
        <v>192</v>
      </c>
    </row>
    <row r="395" spans="1:17" x14ac:dyDescent="0.3">
      <c r="D395" s="8" t="s">
        <v>8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/>
      <c r="Q395" s="12">
        <f>SUM(E395:P395)</f>
        <v>0</v>
      </c>
    </row>
    <row r="396" spans="1:17" x14ac:dyDescent="0.3">
      <c r="D396" s="8" t="s">
        <v>9</v>
      </c>
      <c r="E396" s="11">
        <v>250</v>
      </c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2">
        <f>SUM(E396:P396)</f>
        <v>250</v>
      </c>
    </row>
    <row r="397" spans="1:17" ht="13.5" thickBot="1" x14ac:dyDescent="0.35">
      <c r="A397" t="s">
        <v>193</v>
      </c>
      <c r="D397" s="8" t="s">
        <v>10</v>
      </c>
      <c r="E397" s="11">
        <f>30000+86521.88</f>
        <v>116521.88</v>
      </c>
      <c r="F397" s="11">
        <f>30000+86521.88</f>
        <v>116521.88</v>
      </c>
      <c r="G397" s="11">
        <f t="shared" ref="G397:O397" si="327">30000+86521.88</f>
        <v>116521.88</v>
      </c>
      <c r="H397" s="11">
        <f t="shared" si="327"/>
        <v>116521.88</v>
      </c>
      <c r="I397" s="11">
        <f t="shared" si="327"/>
        <v>116521.88</v>
      </c>
      <c r="J397" s="11">
        <f>30000+86521.85</f>
        <v>116521.85</v>
      </c>
      <c r="K397" s="11">
        <f t="shared" si="327"/>
        <v>116521.88</v>
      </c>
      <c r="L397" s="11">
        <f t="shared" si="327"/>
        <v>116521.88</v>
      </c>
      <c r="M397" s="11">
        <f t="shared" si="327"/>
        <v>116521.88</v>
      </c>
      <c r="N397" s="11">
        <f t="shared" si="327"/>
        <v>116521.88</v>
      </c>
      <c r="O397" s="11">
        <f t="shared" si="327"/>
        <v>116521.88</v>
      </c>
      <c r="P397" s="11"/>
      <c r="Q397" s="12">
        <f>SUM(E397:P397)</f>
        <v>1281740.6499999999</v>
      </c>
    </row>
    <row r="398" spans="1:17" ht="13.5" thickBot="1" x14ac:dyDescent="0.35">
      <c r="D398" s="13" t="s">
        <v>191</v>
      </c>
      <c r="E398" s="14">
        <f t="shared" ref="E398:P398" si="328">SUM(E395:E397)</f>
        <v>116771.88</v>
      </c>
      <c r="F398" s="14">
        <f t="shared" si="328"/>
        <v>116521.88</v>
      </c>
      <c r="G398" s="14">
        <f t="shared" si="328"/>
        <v>116521.88</v>
      </c>
      <c r="H398" s="14">
        <f t="shared" si="328"/>
        <v>116521.88</v>
      </c>
      <c r="I398" s="14">
        <f t="shared" si="328"/>
        <v>116521.88</v>
      </c>
      <c r="J398" s="14">
        <f t="shared" si="328"/>
        <v>116521.85</v>
      </c>
      <c r="K398" s="14">
        <f t="shared" si="328"/>
        <v>116521.88</v>
      </c>
      <c r="L398" s="14">
        <f t="shared" si="328"/>
        <v>116521.88</v>
      </c>
      <c r="M398" s="14">
        <f t="shared" si="328"/>
        <v>116521.88</v>
      </c>
      <c r="N398" s="14">
        <f t="shared" si="328"/>
        <v>116521.88</v>
      </c>
      <c r="O398" s="14">
        <f t="shared" si="328"/>
        <v>116521.88</v>
      </c>
      <c r="P398" s="14">
        <f t="shared" si="328"/>
        <v>0</v>
      </c>
      <c r="Q398" s="14">
        <f>SUM(Q395:Q397)</f>
        <v>1281990.6499999999</v>
      </c>
    </row>
    <row r="399" spans="1:17" x14ac:dyDescent="0.3">
      <c r="D399" s="15"/>
    </row>
    <row r="400" spans="1:17" ht="15.5" x14ac:dyDescent="0.35">
      <c r="C400" s="30" t="s">
        <v>6</v>
      </c>
      <c r="D400" s="10" t="s">
        <v>194</v>
      </c>
    </row>
    <row r="401" spans="1:56" x14ac:dyDescent="0.3">
      <c r="D401" s="8" t="s">
        <v>8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/>
      <c r="Q401" s="12">
        <f>SUM(E401:P401)</f>
        <v>0</v>
      </c>
    </row>
    <row r="402" spans="1:56" x14ac:dyDescent="0.3">
      <c r="D402" s="8" t="s">
        <v>9</v>
      </c>
      <c r="E402" s="11">
        <v>250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2">
        <f>SUM(E402:P402)</f>
        <v>250</v>
      </c>
    </row>
    <row r="403" spans="1:56" ht="13.5" thickBot="1" x14ac:dyDescent="0.35">
      <c r="A403" t="s">
        <v>195</v>
      </c>
      <c r="D403" s="8" t="s">
        <v>10</v>
      </c>
      <c r="E403" s="11">
        <f>19166.67+54491.25</f>
        <v>73657.919999999998</v>
      </c>
      <c r="F403" s="11">
        <f t="shared" ref="F403:O403" si="329">19166.67+54491.25</f>
        <v>73657.919999999998</v>
      </c>
      <c r="G403" s="11">
        <f t="shared" si="329"/>
        <v>73657.919999999998</v>
      </c>
      <c r="H403" s="11">
        <f t="shared" si="329"/>
        <v>73657.919999999998</v>
      </c>
      <c r="I403" s="11">
        <f t="shared" si="329"/>
        <v>73657.919999999998</v>
      </c>
      <c r="J403" s="11">
        <f t="shared" si="329"/>
        <v>73657.919999999998</v>
      </c>
      <c r="K403" s="11">
        <f t="shared" si="329"/>
        <v>73657.919999999998</v>
      </c>
      <c r="L403" s="11">
        <f t="shared" si="329"/>
        <v>73657.919999999998</v>
      </c>
      <c r="M403" s="11">
        <f t="shared" si="329"/>
        <v>73657.919999999998</v>
      </c>
      <c r="N403" s="11">
        <f t="shared" si="329"/>
        <v>73657.919999999998</v>
      </c>
      <c r="O403" s="11">
        <f t="shared" si="329"/>
        <v>73657.919999999998</v>
      </c>
      <c r="P403" s="11"/>
      <c r="Q403" s="12">
        <f>SUM(E403:P403)</f>
        <v>810237.12000000011</v>
      </c>
    </row>
    <row r="404" spans="1:56" ht="13.5" thickBot="1" x14ac:dyDescent="0.35">
      <c r="D404" s="13" t="s">
        <v>196</v>
      </c>
      <c r="E404" s="14">
        <f t="shared" ref="E404:P404" si="330">SUM(E401:E403)</f>
        <v>73907.92</v>
      </c>
      <c r="F404" s="14">
        <f t="shared" si="330"/>
        <v>73657.919999999998</v>
      </c>
      <c r="G404" s="14">
        <f t="shared" si="330"/>
        <v>73657.919999999998</v>
      </c>
      <c r="H404" s="14">
        <f t="shared" si="330"/>
        <v>73657.919999999998</v>
      </c>
      <c r="I404" s="14">
        <f t="shared" si="330"/>
        <v>73657.919999999998</v>
      </c>
      <c r="J404" s="14">
        <f t="shared" si="330"/>
        <v>73657.919999999998</v>
      </c>
      <c r="K404" s="14">
        <f t="shared" si="330"/>
        <v>73657.919999999998</v>
      </c>
      <c r="L404" s="14">
        <f t="shared" si="330"/>
        <v>73657.919999999998</v>
      </c>
      <c r="M404" s="14">
        <f t="shared" si="330"/>
        <v>73657.919999999998</v>
      </c>
      <c r="N404" s="14">
        <f t="shared" si="330"/>
        <v>73657.919999999998</v>
      </c>
      <c r="O404" s="14">
        <f t="shared" si="330"/>
        <v>73657.919999999998</v>
      </c>
      <c r="P404" s="14">
        <f t="shared" si="330"/>
        <v>0</v>
      </c>
      <c r="Q404" s="14">
        <f>SUM(Q401:Q403)</f>
        <v>810487.12000000011</v>
      </c>
    </row>
    <row r="405" spans="1:56" x14ac:dyDescent="0.3">
      <c r="D405" s="15"/>
    </row>
    <row r="406" spans="1:56" ht="15.5" x14ac:dyDescent="0.35">
      <c r="C406" s="30" t="s">
        <v>6</v>
      </c>
      <c r="D406" s="10" t="s">
        <v>197</v>
      </c>
    </row>
    <row r="407" spans="1:56" x14ac:dyDescent="0.3">
      <c r="D407" s="8" t="s">
        <v>8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/>
      <c r="Q407" s="12">
        <f>SUM(E407:P407)</f>
        <v>0</v>
      </c>
    </row>
    <row r="408" spans="1:56" x14ac:dyDescent="0.3">
      <c r="D408" s="8" t="s">
        <v>9</v>
      </c>
      <c r="E408" s="11">
        <v>250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2">
        <f>SUM(E408:P408)</f>
        <v>250</v>
      </c>
    </row>
    <row r="409" spans="1:56" ht="13.5" thickBot="1" x14ac:dyDescent="0.35">
      <c r="A409" t="s">
        <v>198</v>
      </c>
      <c r="D409" s="8" t="s">
        <v>10</v>
      </c>
      <c r="E409" s="11">
        <f>17500+74270.21</f>
        <v>91770.21</v>
      </c>
      <c r="F409" s="11">
        <f t="shared" ref="F409:O409" si="331">17500+74270.21</f>
        <v>91770.21</v>
      </c>
      <c r="G409" s="11">
        <f t="shared" si="331"/>
        <v>91770.21</v>
      </c>
      <c r="H409" s="11">
        <f t="shared" si="331"/>
        <v>91770.21</v>
      </c>
      <c r="I409" s="11">
        <f t="shared" si="331"/>
        <v>91770.21</v>
      </c>
      <c r="J409" s="11">
        <f>17500+74270.2</f>
        <v>91770.2</v>
      </c>
      <c r="K409" s="11">
        <f t="shared" si="331"/>
        <v>91770.21</v>
      </c>
      <c r="L409" s="11">
        <f t="shared" si="331"/>
        <v>91770.21</v>
      </c>
      <c r="M409" s="11">
        <f t="shared" si="331"/>
        <v>91770.21</v>
      </c>
      <c r="N409" s="11">
        <f t="shared" si="331"/>
        <v>91770.21</v>
      </c>
      <c r="O409" s="11">
        <f t="shared" si="331"/>
        <v>91770.21</v>
      </c>
      <c r="P409" s="11"/>
      <c r="Q409" s="12">
        <f>SUM(E409:P409)</f>
        <v>1009472.2999999998</v>
      </c>
    </row>
    <row r="410" spans="1:56" ht="13.5" thickBot="1" x14ac:dyDescent="0.35">
      <c r="D410" s="13" t="s">
        <v>196</v>
      </c>
      <c r="E410" s="14">
        <f t="shared" ref="E410:P410" si="332">SUM(E407:E409)</f>
        <v>92020.21</v>
      </c>
      <c r="F410" s="14">
        <f t="shared" si="332"/>
        <v>91770.21</v>
      </c>
      <c r="G410" s="14">
        <f t="shared" si="332"/>
        <v>91770.21</v>
      </c>
      <c r="H410" s="14">
        <f t="shared" si="332"/>
        <v>91770.21</v>
      </c>
      <c r="I410" s="14">
        <f t="shared" si="332"/>
        <v>91770.21</v>
      </c>
      <c r="J410" s="14">
        <f t="shared" si="332"/>
        <v>91770.2</v>
      </c>
      <c r="K410" s="14">
        <f t="shared" si="332"/>
        <v>91770.21</v>
      </c>
      <c r="L410" s="14">
        <f t="shared" si="332"/>
        <v>91770.21</v>
      </c>
      <c r="M410" s="14">
        <f t="shared" si="332"/>
        <v>91770.21</v>
      </c>
      <c r="N410" s="14">
        <f t="shared" si="332"/>
        <v>91770.21</v>
      </c>
      <c r="O410" s="14">
        <f t="shared" si="332"/>
        <v>91770.21</v>
      </c>
      <c r="P410" s="14">
        <f t="shared" si="332"/>
        <v>0</v>
      </c>
      <c r="Q410" s="14">
        <f>SUM(Q407:Q409)</f>
        <v>1009722.2999999998</v>
      </c>
    </row>
    <row r="411" spans="1:56" x14ac:dyDescent="0.3">
      <c r="D411" s="15"/>
    </row>
    <row r="412" spans="1:56" ht="15.5" x14ac:dyDescent="0.35">
      <c r="B412" s="1">
        <f>B376+1</f>
        <v>44</v>
      </c>
      <c r="C412" s="24" t="s">
        <v>14</v>
      </c>
      <c r="D412" s="25" t="s">
        <v>199</v>
      </c>
    </row>
    <row r="413" spans="1:56" x14ac:dyDescent="0.3">
      <c r="D413" s="8" t="s">
        <v>8</v>
      </c>
      <c r="E413" s="11">
        <v>847.5</v>
      </c>
      <c r="F413" s="11">
        <v>847.5</v>
      </c>
      <c r="G413" s="11">
        <v>847.5</v>
      </c>
      <c r="H413" s="11">
        <v>847.5</v>
      </c>
      <c r="I413" s="11">
        <v>847.5</v>
      </c>
      <c r="J413" s="11">
        <v>847.5</v>
      </c>
      <c r="K413" s="11">
        <v>847.5</v>
      </c>
      <c r="L413" s="11">
        <v>847.5</v>
      </c>
      <c r="M413" s="11">
        <v>847.5</v>
      </c>
      <c r="N413" s="11">
        <v>847.5</v>
      </c>
      <c r="O413" s="11">
        <v>847.5</v>
      </c>
      <c r="P413" s="11">
        <v>847.5</v>
      </c>
      <c r="Q413" s="12">
        <f>SUM(E413:P413)</f>
        <v>10170</v>
      </c>
      <c r="R413" s="11">
        <v>835.42</v>
      </c>
      <c r="S413" s="11">
        <v>835.42</v>
      </c>
      <c r="T413" s="11">
        <v>835.42</v>
      </c>
      <c r="U413" s="11">
        <v>835.42</v>
      </c>
      <c r="V413" s="11">
        <v>835.42</v>
      </c>
      <c r="W413" s="11">
        <v>835.42</v>
      </c>
      <c r="X413" s="11">
        <v>835.42</v>
      </c>
      <c r="Y413" s="11">
        <v>835.42</v>
      </c>
      <c r="Z413" s="11">
        <v>835.42</v>
      </c>
      <c r="AA413" s="11">
        <v>835.42</v>
      </c>
      <c r="AB413" s="11">
        <v>835.42</v>
      </c>
      <c r="AC413" s="11">
        <v>835.42</v>
      </c>
      <c r="AD413" s="12">
        <f>SUM(R413:AC413)</f>
        <v>10025.039999999999</v>
      </c>
      <c r="AE413" s="12">
        <v>822.92</v>
      </c>
      <c r="AF413" s="12">
        <v>822.92</v>
      </c>
      <c r="AG413" s="12">
        <v>822.92</v>
      </c>
      <c r="AH413" s="12">
        <v>822.92</v>
      </c>
      <c r="AI413" s="12">
        <v>822.92</v>
      </c>
      <c r="AJ413" s="12">
        <v>822.92</v>
      </c>
      <c r="AK413" s="12">
        <v>822.92</v>
      </c>
      <c r="AL413" s="12">
        <v>822.92</v>
      </c>
      <c r="AM413" s="12">
        <v>822.92</v>
      </c>
      <c r="AN413" s="12">
        <v>822.92</v>
      </c>
      <c r="AO413" s="12">
        <v>822.92</v>
      </c>
      <c r="AP413" s="12">
        <v>822.92</v>
      </c>
      <c r="AQ413" s="3">
        <f>SUM(AE413:AP413)</f>
        <v>9875.0399999999991</v>
      </c>
      <c r="AR413" s="3">
        <v>810</v>
      </c>
      <c r="AS413" s="3">
        <v>810</v>
      </c>
      <c r="AT413" s="3">
        <v>810</v>
      </c>
      <c r="AU413" s="3">
        <v>810</v>
      </c>
      <c r="AV413" s="3">
        <v>810</v>
      </c>
      <c r="AW413" s="3">
        <v>810</v>
      </c>
      <c r="AX413" s="3">
        <v>810</v>
      </c>
      <c r="AY413" s="3">
        <v>810</v>
      </c>
      <c r="AZ413" s="3">
        <v>810</v>
      </c>
      <c r="BA413" s="3">
        <v>810</v>
      </c>
      <c r="BB413" s="3">
        <v>810</v>
      </c>
      <c r="BC413" s="3">
        <v>810</v>
      </c>
      <c r="BD413" s="3">
        <f>SUM(AR413:BC413)</f>
        <v>9720</v>
      </c>
    </row>
    <row r="414" spans="1:56" x14ac:dyDescent="0.3">
      <c r="D414" s="8" t="s">
        <v>9</v>
      </c>
      <c r="E414" s="11">
        <v>250</v>
      </c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2">
        <f>SUM(E414:P414)</f>
        <v>250</v>
      </c>
      <c r="R414" s="11">
        <v>250</v>
      </c>
      <c r="AD414" s="12">
        <f>SUM(R414:AC414)</f>
        <v>250</v>
      </c>
      <c r="AE414" s="11">
        <v>250</v>
      </c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3">
        <f>SUM(AE414:AP414)</f>
        <v>250</v>
      </c>
      <c r="AR414" s="3">
        <v>250</v>
      </c>
      <c r="AS414" s="3">
        <v>0</v>
      </c>
      <c r="AT414" s="3">
        <v>0</v>
      </c>
      <c r="AU414" s="3">
        <v>0</v>
      </c>
      <c r="AV414" s="3">
        <v>0</v>
      </c>
      <c r="AW414" s="3">
        <v>0</v>
      </c>
      <c r="AX414" s="3">
        <v>0</v>
      </c>
      <c r="AY414" s="3">
        <v>0</v>
      </c>
      <c r="AZ414" s="3">
        <v>0</v>
      </c>
      <c r="BA414" s="3">
        <v>0</v>
      </c>
      <c r="BB414" s="3">
        <v>0</v>
      </c>
      <c r="BC414" s="3">
        <v>0</v>
      </c>
      <c r="BD414" s="3">
        <f>SUM(AR414:BC414)</f>
        <v>250</v>
      </c>
    </row>
    <row r="415" spans="1:56" ht="13.5" thickBot="1" x14ac:dyDescent="0.35">
      <c r="A415" t="s">
        <v>200</v>
      </c>
      <c r="D415" s="8" t="s">
        <v>10</v>
      </c>
      <c r="E415" s="12">
        <v>50856.26</v>
      </c>
      <c r="F415" s="12">
        <v>50856.26</v>
      </c>
      <c r="G415" s="12">
        <v>50856.26</v>
      </c>
      <c r="H415" s="12">
        <v>50856.26</v>
      </c>
      <c r="I415" s="12">
        <v>50856.26</v>
      </c>
      <c r="J415" s="12">
        <v>50856.26</v>
      </c>
      <c r="K415" s="12">
        <v>50856.26</v>
      </c>
      <c r="L415" s="12">
        <v>50856.26</v>
      </c>
      <c r="M415" s="12">
        <v>50856.26</v>
      </c>
      <c r="N415" s="12">
        <v>50856.26</v>
      </c>
      <c r="O415" s="12">
        <v>50856.26</v>
      </c>
      <c r="P415" s="11">
        <v>50910.42</v>
      </c>
      <c r="Q415" s="12">
        <f>SUM(E415:P415)</f>
        <v>610329.28</v>
      </c>
      <c r="R415" s="11">
        <v>50910.42</v>
      </c>
      <c r="S415" s="11">
        <v>50910.42</v>
      </c>
      <c r="T415" s="11">
        <v>50910.42</v>
      </c>
      <c r="U415" s="11">
        <v>50910.42</v>
      </c>
      <c r="V415" s="11">
        <v>50910.42</v>
      </c>
      <c r="W415" s="11">
        <v>50910.42</v>
      </c>
      <c r="X415" s="11">
        <v>50910.42</v>
      </c>
      <c r="Y415" s="11">
        <v>50910.42</v>
      </c>
      <c r="Z415" s="11">
        <v>50910.42</v>
      </c>
      <c r="AA415" s="11">
        <v>50910.42</v>
      </c>
      <c r="AB415" s="11">
        <v>50910.42</v>
      </c>
      <c r="AC415" s="11">
        <v>50827.09</v>
      </c>
      <c r="AD415" s="12">
        <f>SUM(R415:AC415)</f>
        <v>610841.70999999985</v>
      </c>
      <c r="AE415" s="11">
        <v>50827.09</v>
      </c>
      <c r="AF415" s="11">
        <v>50827.09</v>
      </c>
      <c r="AG415" s="11">
        <v>50827.09</v>
      </c>
      <c r="AH415" s="11">
        <v>50827.09</v>
      </c>
      <c r="AI415" s="11">
        <v>50827.09</v>
      </c>
      <c r="AJ415" s="11">
        <v>50827.09</v>
      </c>
      <c r="AK415" s="11">
        <v>50827.09</v>
      </c>
      <c r="AL415" s="11">
        <v>50827.09</v>
      </c>
      <c r="AM415" s="11">
        <v>50827.09</v>
      </c>
      <c r="AN415" s="11">
        <v>50827.09</v>
      </c>
      <c r="AO415" s="11">
        <v>50827.09</v>
      </c>
      <c r="AP415" s="12">
        <v>50727.09</v>
      </c>
      <c r="AQ415" s="3">
        <f>SUM(AE415:AP415)</f>
        <v>609825.07999999984</v>
      </c>
      <c r="AR415" s="3">
        <f>13333.34+37393.75</f>
        <v>50727.09</v>
      </c>
      <c r="AS415" s="3">
        <f>13333.34+37393.75</f>
        <v>50727.09</v>
      </c>
      <c r="AT415" s="3">
        <f t="shared" ref="AT415:BB415" si="333">13333.34+37393.75</f>
        <v>50727.09</v>
      </c>
      <c r="AU415" s="3">
        <f t="shared" si="333"/>
        <v>50727.09</v>
      </c>
      <c r="AV415" s="3">
        <f t="shared" si="333"/>
        <v>50727.09</v>
      </c>
      <c r="AW415" s="3">
        <f t="shared" si="333"/>
        <v>50727.09</v>
      </c>
      <c r="AX415" s="3">
        <f t="shared" si="333"/>
        <v>50727.09</v>
      </c>
      <c r="AY415" s="3">
        <f t="shared" si="333"/>
        <v>50727.09</v>
      </c>
      <c r="AZ415" s="3">
        <f t="shared" si="333"/>
        <v>50727.09</v>
      </c>
      <c r="BA415" s="3">
        <f t="shared" si="333"/>
        <v>50727.09</v>
      </c>
      <c r="BB415" s="3">
        <f t="shared" si="333"/>
        <v>50727.09</v>
      </c>
      <c r="BC415" s="3">
        <f>14166.67+36727.09</f>
        <v>50893.759999999995</v>
      </c>
      <c r="BD415" s="3">
        <f>SUM(AR415:BC415)</f>
        <v>608891.74999999988</v>
      </c>
    </row>
    <row r="416" spans="1:56" ht="13.5" thickBot="1" x14ac:dyDescent="0.35">
      <c r="D416" s="13" t="s">
        <v>201</v>
      </c>
      <c r="E416" s="14">
        <f t="shared" ref="E416:P416" si="334">SUM(E413:E415)</f>
        <v>51953.760000000002</v>
      </c>
      <c r="F416" s="14">
        <f t="shared" si="334"/>
        <v>51703.76</v>
      </c>
      <c r="G416" s="14">
        <f t="shared" si="334"/>
        <v>51703.76</v>
      </c>
      <c r="H416" s="14">
        <f t="shared" si="334"/>
        <v>51703.76</v>
      </c>
      <c r="I416" s="14">
        <f t="shared" si="334"/>
        <v>51703.76</v>
      </c>
      <c r="J416" s="14">
        <f t="shared" si="334"/>
        <v>51703.76</v>
      </c>
      <c r="K416" s="14">
        <f t="shared" si="334"/>
        <v>51703.76</v>
      </c>
      <c r="L416" s="14">
        <f t="shared" si="334"/>
        <v>51703.76</v>
      </c>
      <c r="M416" s="14">
        <f t="shared" si="334"/>
        <v>51703.76</v>
      </c>
      <c r="N416" s="14">
        <f t="shared" si="334"/>
        <v>51703.76</v>
      </c>
      <c r="O416" s="14">
        <f t="shared" si="334"/>
        <v>51703.76</v>
      </c>
      <c r="P416" s="14">
        <f t="shared" si="334"/>
        <v>51757.919999999998</v>
      </c>
      <c r="Q416" s="14">
        <f>SUM(Q413:Q415)</f>
        <v>620749.28</v>
      </c>
      <c r="R416" s="14">
        <f t="shared" ref="R416:AC416" si="335">SUM(R413:R415)</f>
        <v>51995.839999999997</v>
      </c>
      <c r="S416" s="14">
        <f t="shared" si="335"/>
        <v>51745.84</v>
      </c>
      <c r="T416" s="14">
        <f t="shared" si="335"/>
        <v>51745.84</v>
      </c>
      <c r="U416" s="14">
        <f t="shared" si="335"/>
        <v>51745.84</v>
      </c>
      <c r="V416" s="14">
        <f t="shared" si="335"/>
        <v>51745.84</v>
      </c>
      <c r="W416" s="14">
        <f t="shared" si="335"/>
        <v>51745.84</v>
      </c>
      <c r="X416" s="14">
        <f t="shared" si="335"/>
        <v>51745.84</v>
      </c>
      <c r="Y416" s="14">
        <f t="shared" si="335"/>
        <v>51745.84</v>
      </c>
      <c r="Z416" s="14">
        <f t="shared" si="335"/>
        <v>51745.84</v>
      </c>
      <c r="AA416" s="14">
        <f t="shared" si="335"/>
        <v>51745.84</v>
      </c>
      <c r="AB416" s="14">
        <f t="shared" si="335"/>
        <v>51745.84</v>
      </c>
      <c r="AC416" s="14">
        <f t="shared" si="335"/>
        <v>51662.509999999995</v>
      </c>
      <c r="AD416" s="14">
        <f>SUM(AD413:AD415)</f>
        <v>621116.74999999988</v>
      </c>
      <c r="AE416" s="14">
        <f>SUM(AE413:AE415)</f>
        <v>51900.009999999995</v>
      </c>
      <c r="AF416" s="14">
        <f>SUM(AF413:AF415)</f>
        <v>51650.009999999995</v>
      </c>
      <c r="AG416" s="14">
        <f t="shared" ref="AG416:AP416" si="336">SUM(AG413:AG415)</f>
        <v>51650.009999999995</v>
      </c>
      <c r="AH416" s="14">
        <f t="shared" si="336"/>
        <v>51650.009999999995</v>
      </c>
      <c r="AI416" s="14">
        <f t="shared" si="336"/>
        <v>51650.009999999995</v>
      </c>
      <c r="AJ416" s="14">
        <f t="shared" si="336"/>
        <v>51650.009999999995</v>
      </c>
      <c r="AK416" s="14">
        <f t="shared" si="336"/>
        <v>51650.009999999995</v>
      </c>
      <c r="AL416" s="14">
        <f t="shared" si="336"/>
        <v>51650.009999999995</v>
      </c>
      <c r="AM416" s="14">
        <f t="shared" si="336"/>
        <v>51650.009999999995</v>
      </c>
      <c r="AN416" s="14">
        <f t="shared" si="336"/>
        <v>51650.009999999995</v>
      </c>
      <c r="AO416" s="14">
        <f t="shared" si="336"/>
        <v>51650.009999999995</v>
      </c>
      <c r="AP416" s="14">
        <f t="shared" si="336"/>
        <v>51550.009999999995</v>
      </c>
      <c r="AQ416" s="22">
        <f>SUM(AQ413:AQ415)</f>
        <v>619950.11999999988</v>
      </c>
      <c r="AR416" s="22">
        <f t="shared" ref="AR416:BD416" si="337">SUM(AR413:AR415)</f>
        <v>51787.09</v>
      </c>
      <c r="AS416" s="22">
        <f t="shared" si="337"/>
        <v>51537.09</v>
      </c>
      <c r="AT416" s="22">
        <f t="shared" si="337"/>
        <v>51537.09</v>
      </c>
      <c r="AU416" s="22">
        <f t="shared" si="337"/>
        <v>51537.09</v>
      </c>
      <c r="AV416" s="22">
        <f t="shared" si="337"/>
        <v>51537.09</v>
      </c>
      <c r="AW416" s="22">
        <f t="shared" si="337"/>
        <v>51537.09</v>
      </c>
      <c r="AX416" s="22">
        <f t="shared" si="337"/>
        <v>51537.09</v>
      </c>
      <c r="AY416" s="22">
        <f t="shared" si="337"/>
        <v>51537.09</v>
      </c>
      <c r="AZ416" s="22">
        <f t="shared" si="337"/>
        <v>51537.09</v>
      </c>
      <c r="BA416" s="22">
        <f t="shared" si="337"/>
        <v>51537.09</v>
      </c>
      <c r="BB416" s="22">
        <f t="shared" si="337"/>
        <v>51537.09</v>
      </c>
      <c r="BC416" s="22">
        <f>SUM(BC414:BC415)</f>
        <v>50893.759999999995</v>
      </c>
      <c r="BD416" s="22">
        <f t="shared" si="337"/>
        <v>618861.74999999988</v>
      </c>
    </row>
    <row r="417" spans="1:56" x14ac:dyDescent="0.3">
      <c r="D417" s="15"/>
    </row>
    <row r="418" spans="1:56" ht="15.5" x14ac:dyDescent="0.35">
      <c r="B418" s="1">
        <f>B412+1</f>
        <v>45</v>
      </c>
      <c r="C418" s="24" t="s">
        <v>14</v>
      </c>
      <c r="D418" s="25" t="s">
        <v>202</v>
      </c>
    </row>
    <row r="419" spans="1:56" x14ac:dyDescent="0.3">
      <c r="D419" s="8" t="s">
        <v>8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v>0</v>
      </c>
      <c r="Q419" s="12">
        <f>SUM(E419:P419)</f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f>SUM(R419:AC419)</f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0</v>
      </c>
      <c r="AM419" s="12">
        <v>0</v>
      </c>
      <c r="AN419" s="12">
        <v>0</v>
      </c>
      <c r="AO419" s="12">
        <v>0</v>
      </c>
      <c r="AP419" s="12">
        <v>0</v>
      </c>
      <c r="AQ419" s="3">
        <f>SUM(AE419:AP419)</f>
        <v>0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0</v>
      </c>
      <c r="AX419" s="3">
        <v>0</v>
      </c>
      <c r="AY419" s="3">
        <v>0</v>
      </c>
      <c r="AZ419" s="3">
        <v>0</v>
      </c>
      <c r="BA419" s="3">
        <v>0</v>
      </c>
      <c r="BB419" s="3">
        <v>0</v>
      </c>
      <c r="BC419" s="3">
        <v>0</v>
      </c>
      <c r="BD419" s="3">
        <f>SUM(AR419:BC419)</f>
        <v>0</v>
      </c>
    </row>
    <row r="420" spans="1:56" x14ac:dyDescent="0.3">
      <c r="D420" s="8" t="s">
        <v>9</v>
      </c>
      <c r="E420" s="11">
        <v>250</v>
      </c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2">
        <f>SUM(E420:P420)</f>
        <v>250</v>
      </c>
      <c r="R420" s="11">
        <v>250</v>
      </c>
      <c r="AD420" s="12">
        <f>SUM(R420:AC420)</f>
        <v>250</v>
      </c>
      <c r="AE420" s="11">
        <v>250</v>
      </c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3">
        <f>SUM(AE420:AP420)</f>
        <v>250</v>
      </c>
      <c r="AR420" s="3">
        <v>250</v>
      </c>
      <c r="AS420" s="3">
        <v>0</v>
      </c>
      <c r="AT420" s="3">
        <v>0</v>
      </c>
      <c r="AU420" s="3">
        <v>0</v>
      </c>
      <c r="AV420" s="3">
        <v>0</v>
      </c>
      <c r="AW420" s="3">
        <v>0</v>
      </c>
      <c r="AX420" s="3">
        <v>0</v>
      </c>
      <c r="AY420" s="3">
        <v>0</v>
      </c>
      <c r="AZ420" s="3">
        <v>0</v>
      </c>
      <c r="BA420" s="3">
        <v>0</v>
      </c>
      <c r="BB420" s="3">
        <v>0</v>
      </c>
      <c r="BC420" s="3">
        <v>0</v>
      </c>
      <c r="BD420" s="3">
        <f>SUM(AR420:BC420)</f>
        <v>250</v>
      </c>
    </row>
    <row r="421" spans="1:56" ht="13.5" thickBot="1" x14ac:dyDescent="0.35">
      <c r="A421" t="s">
        <v>203</v>
      </c>
      <c r="D421" s="8" t="s">
        <v>10</v>
      </c>
      <c r="E421" s="11">
        <v>30745.63</v>
      </c>
      <c r="F421" s="11">
        <v>30704.91</v>
      </c>
      <c r="G421" s="11">
        <v>30664.19</v>
      </c>
      <c r="H421" s="11">
        <v>30623.46</v>
      </c>
      <c r="I421" s="11">
        <v>30582.74</v>
      </c>
      <c r="J421" s="11">
        <v>30542.02</v>
      </c>
      <c r="K421" s="11">
        <v>30501.3</v>
      </c>
      <c r="L421" s="11">
        <v>30460.57</v>
      </c>
      <c r="M421" s="11">
        <v>30419.85</v>
      </c>
      <c r="N421" s="11">
        <v>30379.13</v>
      </c>
      <c r="O421" s="11">
        <v>30338.41</v>
      </c>
      <c r="P421" s="11">
        <v>30304.68</v>
      </c>
      <c r="Q421" s="12">
        <f>SUM(E421:P421)</f>
        <v>366266.88999999996</v>
      </c>
      <c r="R421" s="11">
        <v>30757.94</v>
      </c>
      <c r="S421" s="11">
        <v>30715.7</v>
      </c>
      <c r="T421" s="11">
        <v>30673.45</v>
      </c>
      <c r="U421" s="11">
        <v>30631.21</v>
      </c>
      <c r="V421" s="11">
        <v>30588.97</v>
      </c>
      <c r="W421" s="11">
        <v>30546.73</v>
      </c>
      <c r="X421" s="11">
        <v>30504.49</v>
      </c>
      <c r="Y421" s="11">
        <v>30462.240000000002</v>
      </c>
      <c r="Z421" s="11">
        <v>30420</v>
      </c>
      <c r="AA421" s="11">
        <v>30377.759999999998</v>
      </c>
      <c r="AB421" s="11">
        <v>30335.52</v>
      </c>
      <c r="AC421" s="11">
        <v>30301.279999999999</v>
      </c>
      <c r="AD421" s="12">
        <f>SUM(R421:AC421)</f>
        <v>366315.29000000004</v>
      </c>
      <c r="AE421" s="12">
        <v>30745.01</v>
      </c>
      <c r="AF421" s="12">
        <v>30701.27</v>
      </c>
      <c r="AG421" s="12">
        <v>30657.53</v>
      </c>
      <c r="AH421" s="12">
        <v>30613.79</v>
      </c>
      <c r="AI421" s="12">
        <v>30570.05</v>
      </c>
      <c r="AJ421" s="12">
        <v>30526.31</v>
      </c>
      <c r="AK421" s="12">
        <v>30482.560000000001</v>
      </c>
      <c r="AL421" s="12">
        <v>30438.82</v>
      </c>
      <c r="AM421" s="12">
        <v>30395.08</v>
      </c>
      <c r="AN421" s="12">
        <v>30351.34</v>
      </c>
      <c r="AO421" s="12">
        <v>30307.599999999999</v>
      </c>
      <c r="AP421" s="12">
        <v>30266.86</v>
      </c>
      <c r="AQ421" s="3">
        <f>SUM(AE421:AP421)</f>
        <v>366056.22</v>
      </c>
      <c r="AR421" s="3">
        <f>15010+15800.11</f>
        <v>30810.11</v>
      </c>
      <c r="AS421" s="3">
        <f>15010+15754.58</f>
        <v>30764.58</v>
      </c>
      <c r="AT421" s="3">
        <f>15010+15709.05</f>
        <v>30719.05</v>
      </c>
      <c r="AU421" s="3">
        <f>15010+15663.52</f>
        <v>30673.52</v>
      </c>
      <c r="AV421" s="3">
        <f>15010+15617.99</f>
        <v>30627.989999999998</v>
      </c>
      <c r="AW421" s="3">
        <f>15010+15572.46</f>
        <v>30582.46</v>
      </c>
      <c r="AX421" s="3">
        <f>15010+15526.93</f>
        <v>30536.93</v>
      </c>
      <c r="AY421" s="3">
        <f>15010+15481.4</f>
        <v>30491.4</v>
      </c>
      <c r="AZ421" s="3">
        <f>15010+15435.87</f>
        <v>30445.870000000003</v>
      </c>
      <c r="BA421" s="3">
        <f>15010+15390.34</f>
        <v>30400.34</v>
      </c>
      <c r="BB421" s="3">
        <f>15010+15344.81</f>
        <v>30354.809999999998</v>
      </c>
      <c r="BC421" s="3">
        <f>15013+15299.28</f>
        <v>30312.28</v>
      </c>
      <c r="BD421" s="3">
        <f>SUM(AR421:BC421)</f>
        <v>366719.33999999997</v>
      </c>
    </row>
    <row r="422" spans="1:56" ht="13.5" thickBot="1" x14ac:dyDescent="0.35">
      <c r="D422" s="13" t="s">
        <v>204</v>
      </c>
      <c r="E422" s="14">
        <f t="shared" ref="E422:P422" si="338">SUM(E419:E421)</f>
        <v>30995.63</v>
      </c>
      <c r="F422" s="14">
        <f t="shared" si="338"/>
        <v>30704.91</v>
      </c>
      <c r="G422" s="14">
        <f t="shared" si="338"/>
        <v>30664.19</v>
      </c>
      <c r="H422" s="14">
        <f t="shared" si="338"/>
        <v>30623.46</v>
      </c>
      <c r="I422" s="14">
        <f t="shared" si="338"/>
        <v>30582.74</v>
      </c>
      <c r="J422" s="14">
        <f t="shared" si="338"/>
        <v>30542.02</v>
      </c>
      <c r="K422" s="14">
        <f t="shared" si="338"/>
        <v>30501.3</v>
      </c>
      <c r="L422" s="14">
        <f t="shared" si="338"/>
        <v>30460.57</v>
      </c>
      <c r="M422" s="14">
        <f t="shared" si="338"/>
        <v>30419.85</v>
      </c>
      <c r="N422" s="14">
        <f t="shared" si="338"/>
        <v>30379.13</v>
      </c>
      <c r="O422" s="14">
        <f t="shared" si="338"/>
        <v>30338.41</v>
      </c>
      <c r="P422" s="14">
        <f t="shared" si="338"/>
        <v>30304.68</v>
      </c>
      <c r="Q422" s="14">
        <f>SUM(Q419:Q421)</f>
        <v>366516.88999999996</v>
      </c>
      <c r="R422" s="14">
        <f t="shared" ref="R422:AC422" si="339">SUM(R419:R421)</f>
        <v>31007.94</v>
      </c>
      <c r="S422" s="14">
        <f t="shared" si="339"/>
        <v>30715.7</v>
      </c>
      <c r="T422" s="14">
        <f t="shared" si="339"/>
        <v>30673.45</v>
      </c>
      <c r="U422" s="14">
        <f t="shared" si="339"/>
        <v>30631.21</v>
      </c>
      <c r="V422" s="14">
        <f t="shared" si="339"/>
        <v>30588.97</v>
      </c>
      <c r="W422" s="14">
        <f t="shared" si="339"/>
        <v>30546.73</v>
      </c>
      <c r="X422" s="14">
        <f t="shared" si="339"/>
        <v>30504.49</v>
      </c>
      <c r="Y422" s="14">
        <f t="shared" si="339"/>
        <v>30462.240000000002</v>
      </c>
      <c r="Z422" s="14">
        <f t="shared" si="339"/>
        <v>30420</v>
      </c>
      <c r="AA422" s="14">
        <f t="shared" si="339"/>
        <v>30377.759999999998</v>
      </c>
      <c r="AB422" s="14">
        <f t="shared" si="339"/>
        <v>30335.52</v>
      </c>
      <c r="AC422" s="14">
        <f t="shared" si="339"/>
        <v>30301.279999999999</v>
      </c>
      <c r="AD422" s="14">
        <f>SUM(AD419:AD421)</f>
        <v>366565.29000000004</v>
      </c>
      <c r="AE422" s="14">
        <f>SUM(AE419:AE421)</f>
        <v>30995.01</v>
      </c>
      <c r="AF422" s="14">
        <f>SUM(AF419:AF421)</f>
        <v>30701.27</v>
      </c>
      <c r="AG422" s="14">
        <f t="shared" ref="AG422:AP422" si="340">SUM(AG419:AG421)</f>
        <v>30657.53</v>
      </c>
      <c r="AH422" s="14">
        <f t="shared" si="340"/>
        <v>30613.79</v>
      </c>
      <c r="AI422" s="14">
        <f t="shared" si="340"/>
        <v>30570.05</v>
      </c>
      <c r="AJ422" s="14">
        <f t="shared" si="340"/>
        <v>30526.31</v>
      </c>
      <c r="AK422" s="14">
        <f t="shared" si="340"/>
        <v>30482.560000000001</v>
      </c>
      <c r="AL422" s="14">
        <f t="shared" si="340"/>
        <v>30438.82</v>
      </c>
      <c r="AM422" s="14">
        <f t="shared" si="340"/>
        <v>30395.08</v>
      </c>
      <c r="AN422" s="14">
        <f t="shared" si="340"/>
        <v>30351.34</v>
      </c>
      <c r="AO422" s="14">
        <f t="shared" si="340"/>
        <v>30307.599999999999</v>
      </c>
      <c r="AP422" s="14">
        <f t="shared" si="340"/>
        <v>30266.86</v>
      </c>
      <c r="AQ422" s="22">
        <f>SUM(AQ419:AQ421)</f>
        <v>366306.22</v>
      </c>
      <c r="AR422" s="22">
        <f t="shared" ref="AR422:BD422" si="341">SUM(AR419:AR421)</f>
        <v>31060.11</v>
      </c>
      <c r="AS422" s="22">
        <f t="shared" si="341"/>
        <v>30764.58</v>
      </c>
      <c r="AT422" s="22">
        <f t="shared" si="341"/>
        <v>30719.05</v>
      </c>
      <c r="AU422" s="22">
        <f t="shared" si="341"/>
        <v>30673.52</v>
      </c>
      <c r="AV422" s="22">
        <f t="shared" si="341"/>
        <v>30627.989999999998</v>
      </c>
      <c r="AW422" s="22">
        <f t="shared" si="341"/>
        <v>30582.46</v>
      </c>
      <c r="AX422" s="22">
        <f t="shared" si="341"/>
        <v>30536.93</v>
      </c>
      <c r="AY422" s="22">
        <f t="shared" si="341"/>
        <v>30491.4</v>
      </c>
      <c r="AZ422" s="22">
        <f t="shared" si="341"/>
        <v>30445.870000000003</v>
      </c>
      <c r="BA422" s="22">
        <f t="shared" si="341"/>
        <v>30400.34</v>
      </c>
      <c r="BB422" s="22">
        <f t="shared" si="341"/>
        <v>30354.809999999998</v>
      </c>
      <c r="BC422" s="22">
        <f t="shared" si="341"/>
        <v>30312.28</v>
      </c>
      <c r="BD422" s="22">
        <f t="shared" si="341"/>
        <v>366969.33999999997</v>
      </c>
    </row>
    <row r="423" spans="1:56" x14ac:dyDescent="0.3">
      <c r="D423" s="15"/>
    </row>
    <row r="424" spans="1:56" ht="15.5" x14ac:dyDescent="0.35">
      <c r="B424" s="1">
        <f>B418+1</f>
        <v>46</v>
      </c>
      <c r="C424" s="24" t="s">
        <v>14</v>
      </c>
      <c r="D424" s="25" t="s">
        <v>205</v>
      </c>
    </row>
    <row r="425" spans="1:56" x14ac:dyDescent="0.3">
      <c r="D425" s="8" t="s">
        <v>8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f>SUM(E425:P425)</f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f>SUM(R425:AC425)</f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0</v>
      </c>
      <c r="AM425" s="12">
        <v>0</v>
      </c>
      <c r="AN425" s="12">
        <v>0</v>
      </c>
      <c r="AO425" s="12">
        <v>0</v>
      </c>
      <c r="AP425" s="12">
        <v>0</v>
      </c>
      <c r="AQ425" s="3">
        <f>SUM(AE425:AP425)</f>
        <v>0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0</v>
      </c>
      <c r="BA425" s="3">
        <v>0</v>
      </c>
      <c r="BB425" s="3">
        <v>0</v>
      </c>
      <c r="BC425" s="3">
        <v>0</v>
      </c>
      <c r="BD425" s="3">
        <f>SUM(AR425:BC425)</f>
        <v>0</v>
      </c>
    </row>
    <row r="426" spans="1:56" x14ac:dyDescent="0.3">
      <c r="D426" s="8" t="s">
        <v>9</v>
      </c>
      <c r="E426" s="11">
        <v>250</v>
      </c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2">
        <f>SUM(E426:P426)</f>
        <v>250</v>
      </c>
      <c r="R426" s="11">
        <v>250</v>
      </c>
      <c r="AD426" s="12">
        <f>SUM(R426:AC426)</f>
        <v>250</v>
      </c>
      <c r="AE426" s="11">
        <v>250</v>
      </c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3">
        <f>SUM(AE426:AP426)</f>
        <v>250</v>
      </c>
      <c r="AR426" s="3">
        <v>250</v>
      </c>
      <c r="AS426" s="3">
        <v>0</v>
      </c>
      <c r="AT426" s="3">
        <v>0</v>
      </c>
      <c r="AU426" s="3">
        <v>0</v>
      </c>
      <c r="AV426" s="3">
        <v>0</v>
      </c>
      <c r="AW426" s="3">
        <v>0</v>
      </c>
      <c r="AX426" s="3">
        <v>0</v>
      </c>
      <c r="AY426" s="3">
        <v>0</v>
      </c>
      <c r="AZ426" s="3">
        <v>0</v>
      </c>
      <c r="BA426" s="3">
        <v>0</v>
      </c>
      <c r="BB426" s="3">
        <v>0</v>
      </c>
      <c r="BC426" s="3">
        <v>0</v>
      </c>
      <c r="BD426" s="3">
        <f>SUM(AR426:BC426)</f>
        <v>250</v>
      </c>
    </row>
    <row r="427" spans="1:56" ht="13.5" thickBot="1" x14ac:dyDescent="0.35">
      <c r="A427" t="s">
        <v>206</v>
      </c>
      <c r="D427" s="8" t="s">
        <v>10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1">
        <v>95418.58</v>
      </c>
      <c r="K427" s="11">
        <v>95418.58</v>
      </c>
      <c r="L427" s="11">
        <v>95418.58</v>
      </c>
      <c r="M427" s="11">
        <v>95418.58</v>
      </c>
      <c r="N427" s="11">
        <v>95418.58</v>
      </c>
      <c r="O427" s="11">
        <v>95418.559999999998</v>
      </c>
      <c r="P427" s="11">
        <f>31666.67+120953.13</f>
        <v>152619.79999999999</v>
      </c>
      <c r="Q427" s="12">
        <f>SUM(E427:P427)</f>
        <v>725131.26</v>
      </c>
      <c r="R427" s="11">
        <f t="shared" ref="R427:AA427" si="342">31666.67+120953.13</f>
        <v>152619.79999999999</v>
      </c>
      <c r="S427" s="11">
        <f t="shared" si="342"/>
        <v>152619.79999999999</v>
      </c>
      <c r="T427" s="11">
        <f t="shared" si="342"/>
        <v>152619.79999999999</v>
      </c>
      <c r="U427" s="11">
        <f t="shared" si="342"/>
        <v>152619.79999999999</v>
      </c>
      <c r="V427" s="11">
        <f>31666.67+120953.1</f>
        <v>152619.77000000002</v>
      </c>
      <c r="W427" s="11">
        <f t="shared" si="342"/>
        <v>152619.79999999999</v>
      </c>
      <c r="X427" s="11">
        <f t="shared" si="342"/>
        <v>152619.79999999999</v>
      </c>
      <c r="Y427" s="11">
        <f t="shared" si="342"/>
        <v>152619.79999999999</v>
      </c>
      <c r="Z427" s="11">
        <f t="shared" si="342"/>
        <v>152619.79999999999</v>
      </c>
      <c r="AA427" s="11">
        <f t="shared" si="342"/>
        <v>152619.79999999999</v>
      </c>
      <c r="AB427" s="11">
        <f>31666.63+120953.1</f>
        <v>152619.73000000001</v>
      </c>
      <c r="AC427" s="11">
        <f>33750+119041.67</f>
        <v>152791.66999999998</v>
      </c>
      <c r="AD427" s="12">
        <f>SUM(R427:AC427)</f>
        <v>1831609.37</v>
      </c>
      <c r="AE427" s="11">
        <f t="shared" ref="AE427:AN427" si="343">33750+119041.67</f>
        <v>152791.66999999998</v>
      </c>
      <c r="AF427" s="11">
        <f t="shared" si="343"/>
        <v>152791.66999999998</v>
      </c>
      <c r="AG427" s="11">
        <f t="shared" si="343"/>
        <v>152791.66999999998</v>
      </c>
      <c r="AH427" s="11">
        <f t="shared" si="343"/>
        <v>152791.66999999998</v>
      </c>
      <c r="AI427" s="11">
        <f>33750+119041.65</f>
        <v>152791.65</v>
      </c>
      <c r="AJ427" s="11">
        <f t="shared" si="343"/>
        <v>152791.66999999998</v>
      </c>
      <c r="AK427" s="11">
        <f t="shared" si="343"/>
        <v>152791.66999999998</v>
      </c>
      <c r="AL427" s="11">
        <f t="shared" si="343"/>
        <v>152791.66999999998</v>
      </c>
      <c r="AM427" s="11">
        <f t="shared" si="343"/>
        <v>152791.66999999998</v>
      </c>
      <c r="AN427" s="11">
        <f t="shared" si="343"/>
        <v>152791.66999999998</v>
      </c>
      <c r="AO427" s="11">
        <f>33750+119041.65</f>
        <v>152791.65</v>
      </c>
      <c r="AP427" s="12">
        <f>35416.67+117354.17</f>
        <v>152770.84</v>
      </c>
      <c r="AQ427" s="3">
        <f>SUM(AE427:AP427)</f>
        <v>1833479.1699999997</v>
      </c>
      <c r="AR427" s="3">
        <f>35416.67+117354.17</f>
        <v>152770.84</v>
      </c>
      <c r="AS427" s="3">
        <f>35416.67+117354.17</f>
        <v>152770.84</v>
      </c>
      <c r="AT427" s="3">
        <f>35416.67+117354.17</f>
        <v>152770.84</v>
      </c>
      <c r="AU427" s="3">
        <f>35416.67+117354.17</f>
        <v>152770.84</v>
      </c>
      <c r="AV427" s="3">
        <f>35416.67+117354.15</f>
        <v>152770.82</v>
      </c>
      <c r="AW427" s="3">
        <f>35416.67+117354.17</f>
        <v>152770.84</v>
      </c>
      <c r="AX427" s="3">
        <f>35416.67+117354.17</f>
        <v>152770.84</v>
      </c>
      <c r="AY427" s="3">
        <f>35416.67+117354.17</f>
        <v>152770.84</v>
      </c>
      <c r="AZ427" s="3">
        <f>35416.67+117354.17</f>
        <v>152770.84</v>
      </c>
      <c r="BA427" s="3">
        <f>35416.67+117354.17</f>
        <v>152770.84</v>
      </c>
      <c r="BB427" s="3">
        <f>35416.63+117354.15</f>
        <v>152770.78</v>
      </c>
      <c r="BC427" s="3">
        <f>37083.33+115583.33</f>
        <v>152666.66</v>
      </c>
      <c r="BD427" s="3">
        <f>SUM(AR427:BC427)</f>
        <v>1833145.82</v>
      </c>
    </row>
    <row r="428" spans="1:56" ht="13.5" thickBot="1" x14ac:dyDescent="0.35">
      <c r="D428" s="13" t="s">
        <v>207</v>
      </c>
      <c r="E428" s="14">
        <f t="shared" ref="E428:P428" si="344">SUM(E425:E427)</f>
        <v>250</v>
      </c>
      <c r="F428" s="14">
        <f t="shared" si="344"/>
        <v>0</v>
      </c>
      <c r="G428" s="14">
        <f t="shared" si="344"/>
        <v>0</v>
      </c>
      <c r="H428" s="14">
        <f t="shared" si="344"/>
        <v>0</v>
      </c>
      <c r="I428" s="14">
        <f t="shared" si="344"/>
        <v>0</v>
      </c>
      <c r="J428" s="14">
        <f t="shared" si="344"/>
        <v>95418.58</v>
      </c>
      <c r="K428" s="14">
        <f t="shared" si="344"/>
        <v>95418.58</v>
      </c>
      <c r="L428" s="14">
        <f t="shared" si="344"/>
        <v>95418.58</v>
      </c>
      <c r="M428" s="14">
        <f t="shared" si="344"/>
        <v>95418.58</v>
      </c>
      <c r="N428" s="14">
        <f t="shared" si="344"/>
        <v>95418.58</v>
      </c>
      <c r="O428" s="14">
        <f t="shared" si="344"/>
        <v>95418.559999999998</v>
      </c>
      <c r="P428" s="14">
        <f t="shared" si="344"/>
        <v>152619.79999999999</v>
      </c>
      <c r="Q428" s="14">
        <f>SUM(Q425:Q427)</f>
        <v>725381.26</v>
      </c>
      <c r="R428" s="14">
        <f t="shared" ref="R428:AC428" si="345">SUM(R425:R427)</f>
        <v>152869.79999999999</v>
      </c>
      <c r="S428" s="14">
        <f t="shared" si="345"/>
        <v>152619.79999999999</v>
      </c>
      <c r="T428" s="14">
        <f t="shared" si="345"/>
        <v>152619.79999999999</v>
      </c>
      <c r="U428" s="14">
        <f t="shared" si="345"/>
        <v>152619.79999999999</v>
      </c>
      <c r="V428" s="14">
        <f t="shared" si="345"/>
        <v>152619.77000000002</v>
      </c>
      <c r="W428" s="14">
        <f t="shared" si="345"/>
        <v>152619.79999999999</v>
      </c>
      <c r="X428" s="14">
        <f t="shared" si="345"/>
        <v>152619.79999999999</v>
      </c>
      <c r="Y428" s="14">
        <f t="shared" si="345"/>
        <v>152619.79999999999</v>
      </c>
      <c r="Z428" s="14">
        <f t="shared" si="345"/>
        <v>152619.79999999999</v>
      </c>
      <c r="AA428" s="14">
        <f t="shared" si="345"/>
        <v>152619.79999999999</v>
      </c>
      <c r="AB428" s="14">
        <f t="shared" si="345"/>
        <v>152619.73000000001</v>
      </c>
      <c r="AC428" s="14">
        <f t="shared" si="345"/>
        <v>152791.66999999998</v>
      </c>
      <c r="AD428" s="14">
        <f>SUM(AD425:AD427)</f>
        <v>1831859.37</v>
      </c>
      <c r="AE428" s="14">
        <f>SUM(AE425:AE427)</f>
        <v>153041.66999999998</v>
      </c>
      <c r="AF428" s="14">
        <f>SUM(AF425:AF427)</f>
        <v>152791.66999999998</v>
      </c>
      <c r="AG428" s="14">
        <f t="shared" ref="AG428:AP428" si="346">SUM(AG425:AG427)</f>
        <v>152791.66999999998</v>
      </c>
      <c r="AH428" s="14">
        <f t="shared" si="346"/>
        <v>152791.66999999998</v>
      </c>
      <c r="AI428" s="14">
        <f t="shared" si="346"/>
        <v>152791.65</v>
      </c>
      <c r="AJ428" s="14">
        <f t="shared" si="346"/>
        <v>152791.66999999998</v>
      </c>
      <c r="AK428" s="14">
        <f t="shared" si="346"/>
        <v>152791.66999999998</v>
      </c>
      <c r="AL428" s="14">
        <f t="shared" si="346"/>
        <v>152791.66999999998</v>
      </c>
      <c r="AM428" s="14">
        <f t="shared" si="346"/>
        <v>152791.66999999998</v>
      </c>
      <c r="AN428" s="14">
        <f t="shared" si="346"/>
        <v>152791.66999999998</v>
      </c>
      <c r="AO428" s="14">
        <f t="shared" si="346"/>
        <v>152791.65</v>
      </c>
      <c r="AP428" s="14">
        <f t="shared" si="346"/>
        <v>152770.84</v>
      </c>
      <c r="AQ428" s="22">
        <f>SUM(AQ425:AQ427)</f>
        <v>1833729.1699999997</v>
      </c>
      <c r="AR428" s="22">
        <f t="shared" ref="AR428:BD428" si="347">SUM(AR425:AR427)</f>
        <v>153020.84</v>
      </c>
      <c r="AS428" s="22">
        <f t="shared" si="347"/>
        <v>152770.84</v>
      </c>
      <c r="AT428" s="22">
        <f t="shared" si="347"/>
        <v>152770.84</v>
      </c>
      <c r="AU428" s="22">
        <f t="shared" si="347"/>
        <v>152770.84</v>
      </c>
      <c r="AV428" s="22">
        <f t="shared" si="347"/>
        <v>152770.82</v>
      </c>
      <c r="AW428" s="22">
        <f t="shared" si="347"/>
        <v>152770.84</v>
      </c>
      <c r="AX428" s="22">
        <f t="shared" si="347"/>
        <v>152770.84</v>
      </c>
      <c r="AY428" s="22">
        <f t="shared" si="347"/>
        <v>152770.84</v>
      </c>
      <c r="AZ428" s="22">
        <f t="shared" si="347"/>
        <v>152770.84</v>
      </c>
      <c r="BA428" s="22">
        <f t="shared" si="347"/>
        <v>152770.84</v>
      </c>
      <c r="BB428" s="22">
        <f t="shared" si="347"/>
        <v>152770.78</v>
      </c>
      <c r="BC428" s="22">
        <f t="shared" si="347"/>
        <v>152666.66</v>
      </c>
      <c r="BD428" s="22">
        <f t="shared" si="347"/>
        <v>1833395.82</v>
      </c>
    </row>
    <row r="429" spans="1:56" x14ac:dyDescent="0.3">
      <c r="D429" s="15"/>
    </row>
    <row r="430" spans="1:56" ht="15.5" x14ac:dyDescent="0.35">
      <c r="A430" s="33" t="s">
        <v>14</v>
      </c>
      <c r="B430" s="1">
        <f>B424+1</f>
        <v>47</v>
      </c>
      <c r="C430" s="34" t="s">
        <v>208</v>
      </c>
      <c r="D430" s="25" t="s">
        <v>209</v>
      </c>
    </row>
    <row r="431" spans="1:56" x14ac:dyDescent="0.3">
      <c r="D431" s="8" t="s">
        <v>8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f>SUM(E431:P431)</f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12">
        <f>SUM(R431:AC431)</f>
        <v>0</v>
      </c>
      <c r="AE431" s="12">
        <v>0</v>
      </c>
      <c r="AF431" s="12">
        <v>0</v>
      </c>
      <c r="AG431" s="12">
        <v>0</v>
      </c>
      <c r="AH431" s="12">
        <v>0</v>
      </c>
      <c r="AI431" s="12">
        <v>0</v>
      </c>
      <c r="AJ431" s="12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2">
        <v>0</v>
      </c>
      <c r="AQ431" s="3">
        <f>SUM(AE431:AP431)</f>
        <v>0</v>
      </c>
      <c r="AR431" s="3">
        <v>0</v>
      </c>
      <c r="AS431" s="3">
        <v>0</v>
      </c>
      <c r="AT431" s="3">
        <v>0</v>
      </c>
      <c r="AU431" s="3">
        <v>0</v>
      </c>
      <c r="AV431" s="3">
        <v>0</v>
      </c>
      <c r="AW431" s="3">
        <v>0</v>
      </c>
      <c r="AX431" s="3">
        <v>0</v>
      </c>
      <c r="AY431" s="3">
        <v>0</v>
      </c>
      <c r="AZ431" s="3">
        <v>0</v>
      </c>
      <c r="BA431" s="3">
        <v>0</v>
      </c>
      <c r="BB431" s="3">
        <v>0</v>
      </c>
      <c r="BC431" s="3">
        <v>0</v>
      </c>
      <c r="BD431" s="3">
        <f>SUM(AR431:BC431)</f>
        <v>0</v>
      </c>
    </row>
    <row r="432" spans="1:56" x14ac:dyDescent="0.3">
      <c r="D432" s="8" t="s">
        <v>9</v>
      </c>
      <c r="E432" s="11">
        <v>74.319999999999993</v>
      </c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2">
        <f>SUM(E432:P432)</f>
        <v>74.319999999999993</v>
      </c>
      <c r="R432" s="11">
        <v>74.33</v>
      </c>
      <c r="AD432" s="12">
        <f>SUM(R432:AC432)</f>
        <v>74.33</v>
      </c>
      <c r="AE432" s="11">
        <v>74.33</v>
      </c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3">
        <f>SUM(AE432:AP432)</f>
        <v>74.33</v>
      </c>
      <c r="AR432" s="3">
        <v>74.319999999999993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0</v>
      </c>
      <c r="BA432" s="3">
        <v>0</v>
      </c>
      <c r="BB432" s="3">
        <v>0</v>
      </c>
      <c r="BC432" s="3">
        <v>0</v>
      </c>
      <c r="BD432" s="3">
        <f>SUM(AR432:BC432)</f>
        <v>74.319999999999993</v>
      </c>
    </row>
    <row r="433" spans="1:56" ht="13.5" thickBot="1" x14ac:dyDescent="0.35">
      <c r="A433" t="s">
        <v>210</v>
      </c>
      <c r="D433" s="8" t="s">
        <v>10</v>
      </c>
      <c r="E433" s="12">
        <v>25701.81</v>
      </c>
      <c r="F433" s="11">
        <v>25701.8</v>
      </c>
      <c r="G433" s="11">
        <v>25701.8</v>
      </c>
      <c r="H433" s="12">
        <v>25701.81</v>
      </c>
      <c r="I433" s="12">
        <v>25701.81</v>
      </c>
      <c r="J433" s="11">
        <v>25701.8</v>
      </c>
      <c r="K433" s="11">
        <v>25701.8</v>
      </c>
      <c r="L433" s="12">
        <v>25701.81</v>
      </c>
      <c r="M433" s="11">
        <v>25701.8</v>
      </c>
      <c r="N433" s="12">
        <v>25701.81</v>
      </c>
      <c r="O433" s="12">
        <v>25701.81</v>
      </c>
      <c r="P433" s="12">
        <v>25701.81</v>
      </c>
      <c r="Q433" s="12">
        <f>SUM(E433:P433)</f>
        <v>308421.67</v>
      </c>
      <c r="R433" s="12">
        <v>25701.8</v>
      </c>
      <c r="S433" s="12">
        <v>25701.8</v>
      </c>
      <c r="T433" s="12">
        <v>20838.75</v>
      </c>
      <c r="U433" s="12">
        <v>20838.75</v>
      </c>
      <c r="V433" s="12">
        <v>20838.740000000002</v>
      </c>
      <c r="W433" s="12">
        <v>20838.75</v>
      </c>
      <c r="X433" s="12">
        <v>20838.75</v>
      </c>
      <c r="Y433" s="12">
        <v>20838.150000000001</v>
      </c>
      <c r="Z433" s="12">
        <v>20838.740000000002</v>
      </c>
      <c r="AA433" s="12">
        <v>20838.740000000002</v>
      </c>
      <c r="AB433" s="12">
        <v>20838.75</v>
      </c>
      <c r="AC433" s="12">
        <v>20838.740000000002</v>
      </c>
      <c r="AD433" s="12">
        <f>SUM(R433:AC433)</f>
        <v>259790.46</v>
      </c>
      <c r="AE433" s="12">
        <v>20838.740000000002</v>
      </c>
      <c r="AF433" s="12">
        <v>20838.75</v>
      </c>
      <c r="AG433" s="12">
        <v>20838.75</v>
      </c>
      <c r="AH433" s="12">
        <v>20838.740000000002</v>
      </c>
      <c r="AI433" s="12">
        <v>20838.75</v>
      </c>
      <c r="AJ433" s="12">
        <v>20838.740000000002</v>
      </c>
      <c r="AK433" s="12">
        <v>20838.740000000002</v>
      </c>
      <c r="AL433" s="12">
        <v>20838.75</v>
      </c>
      <c r="AM433" s="12">
        <v>20838.740000000002</v>
      </c>
      <c r="AN433" s="12">
        <v>20838.75</v>
      </c>
      <c r="AO433" s="12">
        <v>20838.75</v>
      </c>
      <c r="AP433" s="12">
        <v>20838.740000000002</v>
      </c>
      <c r="AQ433" s="3">
        <f>SUM(AE433:AP433)</f>
        <v>250064.94</v>
      </c>
      <c r="AR433" s="3">
        <v>20913.07</v>
      </c>
      <c r="AS433" s="3">
        <v>20838.75</v>
      </c>
      <c r="AT433" s="3">
        <v>20838.75</v>
      </c>
      <c r="AU433" s="3">
        <v>20838.740000000002</v>
      </c>
      <c r="AV433" s="3">
        <v>20838.740000000002</v>
      </c>
      <c r="AW433" s="3">
        <v>20838.75</v>
      </c>
      <c r="AX433" s="3">
        <v>20838.740000000002</v>
      </c>
      <c r="AY433" s="3">
        <v>20838.75</v>
      </c>
      <c r="AZ433" s="3">
        <v>20838.740000000002</v>
      </c>
      <c r="BA433" s="3">
        <v>20838.150000000001</v>
      </c>
      <c r="BB433" s="3">
        <v>20838.75</v>
      </c>
      <c r="BC433" s="3">
        <v>20838.150000000001</v>
      </c>
      <c r="BD433" s="3">
        <f>SUM(AR433:BC433)</f>
        <v>250138.08</v>
      </c>
    </row>
    <row r="434" spans="1:56" ht="13.5" thickBot="1" x14ac:dyDescent="0.35">
      <c r="D434" s="13" t="s">
        <v>211</v>
      </c>
      <c r="E434" s="14">
        <f t="shared" ref="E434:P434" si="348">SUM(E431:E433)</f>
        <v>25776.13</v>
      </c>
      <c r="F434" s="14">
        <f t="shared" si="348"/>
        <v>25701.8</v>
      </c>
      <c r="G434" s="14">
        <f t="shared" si="348"/>
        <v>25701.8</v>
      </c>
      <c r="H434" s="14">
        <f t="shared" si="348"/>
        <v>25701.81</v>
      </c>
      <c r="I434" s="14">
        <f t="shared" si="348"/>
        <v>25701.81</v>
      </c>
      <c r="J434" s="14">
        <f t="shared" si="348"/>
        <v>25701.8</v>
      </c>
      <c r="K434" s="14">
        <f t="shared" si="348"/>
        <v>25701.8</v>
      </c>
      <c r="L434" s="14">
        <f t="shared" si="348"/>
        <v>25701.81</v>
      </c>
      <c r="M434" s="14">
        <f t="shared" si="348"/>
        <v>25701.8</v>
      </c>
      <c r="N434" s="14">
        <f t="shared" si="348"/>
        <v>25701.81</v>
      </c>
      <c r="O434" s="14">
        <f t="shared" si="348"/>
        <v>25701.81</v>
      </c>
      <c r="P434" s="14">
        <f t="shared" si="348"/>
        <v>25701.81</v>
      </c>
      <c r="Q434" s="14">
        <f>SUM(Q431:Q433)</f>
        <v>308495.99</v>
      </c>
      <c r="R434" s="14">
        <f t="shared" ref="R434:AC434" si="349">SUM(R431:R433)</f>
        <v>25776.13</v>
      </c>
      <c r="S434" s="14">
        <f t="shared" si="349"/>
        <v>25701.8</v>
      </c>
      <c r="T434" s="14">
        <f t="shared" si="349"/>
        <v>20838.75</v>
      </c>
      <c r="U434" s="14">
        <f t="shared" si="349"/>
        <v>20838.75</v>
      </c>
      <c r="V434" s="14">
        <f t="shared" si="349"/>
        <v>20838.740000000002</v>
      </c>
      <c r="W434" s="14">
        <f t="shared" si="349"/>
        <v>20838.75</v>
      </c>
      <c r="X434" s="14">
        <f t="shared" si="349"/>
        <v>20838.75</v>
      </c>
      <c r="Y434" s="14">
        <f t="shared" si="349"/>
        <v>20838.150000000001</v>
      </c>
      <c r="Z434" s="14">
        <f t="shared" si="349"/>
        <v>20838.740000000002</v>
      </c>
      <c r="AA434" s="14">
        <f t="shared" si="349"/>
        <v>20838.740000000002</v>
      </c>
      <c r="AB434" s="14">
        <f t="shared" si="349"/>
        <v>20838.75</v>
      </c>
      <c r="AC434" s="14">
        <f t="shared" si="349"/>
        <v>20838.740000000002</v>
      </c>
      <c r="AD434" s="14">
        <f>SUM(AD431:AD433)</f>
        <v>259864.78999999998</v>
      </c>
      <c r="AE434" s="14">
        <f>SUM(AE431:AE433)</f>
        <v>20913.070000000003</v>
      </c>
      <c r="AF434" s="14">
        <f>SUM(AF431:AF433)</f>
        <v>20838.75</v>
      </c>
      <c r="AG434" s="14">
        <f t="shared" ref="AG434:AP434" si="350">SUM(AG431:AG433)</f>
        <v>20838.75</v>
      </c>
      <c r="AH434" s="14">
        <f t="shared" si="350"/>
        <v>20838.740000000002</v>
      </c>
      <c r="AI434" s="14">
        <f t="shared" si="350"/>
        <v>20838.75</v>
      </c>
      <c r="AJ434" s="14">
        <f t="shared" si="350"/>
        <v>20838.740000000002</v>
      </c>
      <c r="AK434" s="14">
        <f t="shared" si="350"/>
        <v>20838.740000000002</v>
      </c>
      <c r="AL434" s="14">
        <f t="shared" si="350"/>
        <v>20838.75</v>
      </c>
      <c r="AM434" s="14">
        <f t="shared" si="350"/>
        <v>20838.740000000002</v>
      </c>
      <c r="AN434" s="14">
        <f t="shared" si="350"/>
        <v>20838.75</v>
      </c>
      <c r="AO434" s="14">
        <f t="shared" si="350"/>
        <v>20838.75</v>
      </c>
      <c r="AP434" s="14">
        <f t="shared" si="350"/>
        <v>20838.740000000002</v>
      </c>
      <c r="AQ434" s="22">
        <f>SUM(AQ431:AQ433)</f>
        <v>250139.27</v>
      </c>
      <c r="AR434" s="22">
        <f t="shared" ref="AR434:BD434" si="351">SUM(AR431:AR433)</f>
        <v>20987.39</v>
      </c>
      <c r="AS434" s="22">
        <f t="shared" si="351"/>
        <v>20838.75</v>
      </c>
      <c r="AT434" s="22">
        <f t="shared" si="351"/>
        <v>20838.75</v>
      </c>
      <c r="AU434" s="22">
        <f t="shared" si="351"/>
        <v>20838.740000000002</v>
      </c>
      <c r="AV434" s="22">
        <f t="shared" si="351"/>
        <v>20838.740000000002</v>
      </c>
      <c r="AW434" s="22">
        <f t="shared" si="351"/>
        <v>20838.75</v>
      </c>
      <c r="AX434" s="22">
        <f t="shared" si="351"/>
        <v>20838.740000000002</v>
      </c>
      <c r="AY434" s="22">
        <f t="shared" si="351"/>
        <v>20838.75</v>
      </c>
      <c r="AZ434" s="22">
        <f t="shared" si="351"/>
        <v>20838.740000000002</v>
      </c>
      <c r="BA434" s="22">
        <f t="shared" si="351"/>
        <v>20838.150000000001</v>
      </c>
      <c r="BB434" s="22">
        <f t="shared" si="351"/>
        <v>20838.75</v>
      </c>
      <c r="BC434" s="22">
        <f t="shared" si="351"/>
        <v>20838.150000000001</v>
      </c>
      <c r="BD434" s="22">
        <f t="shared" si="351"/>
        <v>250212.4</v>
      </c>
    </row>
    <row r="435" spans="1:56" x14ac:dyDescent="0.3">
      <c r="D435" s="15"/>
    </row>
    <row r="436" spans="1:56" ht="15.5" x14ac:dyDescent="0.35">
      <c r="A436" s="33" t="s">
        <v>14</v>
      </c>
      <c r="B436" s="1">
        <f>B430</f>
        <v>47</v>
      </c>
      <c r="C436" s="34" t="s">
        <v>212</v>
      </c>
      <c r="D436" s="25" t="s">
        <v>213</v>
      </c>
    </row>
    <row r="437" spans="1:56" x14ac:dyDescent="0.3">
      <c r="D437" s="8" t="s">
        <v>8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f>SUM(E437:P437)</f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f>SUM(R437:AC437)</f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0</v>
      </c>
      <c r="AK437" s="12">
        <v>0</v>
      </c>
      <c r="AL437" s="12">
        <v>0</v>
      </c>
      <c r="AM437" s="12">
        <v>0</v>
      </c>
      <c r="AN437" s="12">
        <v>0</v>
      </c>
      <c r="AO437" s="12">
        <v>0</v>
      </c>
      <c r="AP437" s="12">
        <v>0</v>
      </c>
      <c r="AQ437" s="3">
        <f>SUM(AE437:AP437)</f>
        <v>0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  <c r="AZ437" s="3">
        <v>0</v>
      </c>
      <c r="BA437" s="3">
        <v>0</v>
      </c>
      <c r="BB437" s="3">
        <v>0</v>
      </c>
      <c r="BC437" s="3">
        <v>0</v>
      </c>
      <c r="BD437" s="3">
        <f>SUM(AR437:BC437)</f>
        <v>0</v>
      </c>
    </row>
    <row r="438" spans="1:56" x14ac:dyDescent="0.3">
      <c r="D438" s="8" t="s">
        <v>9</v>
      </c>
      <c r="E438" s="11">
        <v>77.7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2">
        <f>SUM(E438:P438)</f>
        <v>77.7</v>
      </c>
      <c r="R438" s="11">
        <v>77.7</v>
      </c>
      <c r="AD438" s="12">
        <f>SUM(R438:AC438)</f>
        <v>77.7</v>
      </c>
      <c r="AE438" s="11">
        <v>77.7</v>
      </c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3">
        <f>SUM(AE438:AP438)</f>
        <v>77.7</v>
      </c>
      <c r="AR438" s="3">
        <v>77.7</v>
      </c>
      <c r="AS438" s="3">
        <v>0</v>
      </c>
      <c r="AT438" s="3">
        <v>0</v>
      </c>
      <c r="AU438" s="3">
        <v>0</v>
      </c>
      <c r="AV438" s="3">
        <v>0</v>
      </c>
      <c r="AW438" s="3">
        <v>0</v>
      </c>
      <c r="AX438" s="3">
        <v>0</v>
      </c>
      <c r="AY438" s="3">
        <v>0</v>
      </c>
      <c r="AZ438" s="3">
        <v>0</v>
      </c>
      <c r="BA438" s="3">
        <v>0</v>
      </c>
      <c r="BB438" s="3">
        <v>0</v>
      </c>
      <c r="BC438" s="3">
        <v>0</v>
      </c>
      <c r="BD438" s="3">
        <f>SUM(AR438:BC438)</f>
        <v>77.7</v>
      </c>
    </row>
    <row r="439" spans="1:56" ht="13.5" thickBot="1" x14ac:dyDescent="0.35">
      <c r="A439" t="s">
        <v>210</v>
      </c>
      <c r="D439" s="8" t="s">
        <v>10</v>
      </c>
      <c r="E439" s="12">
        <v>26868.89</v>
      </c>
      <c r="F439" s="12">
        <v>26868.89</v>
      </c>
      <c r="G439" s="12">
        <v>26868.89</v>
      </c>
      <c r="H439" s="12">
        <v>26868.89</v>
      </c>
      <c r="I439" s="12">
        <v>26868.89</v>
      </c>
      <c r="J439" s="12">
        <v>26868.89</v>
      </c>
      <c r="K439" s="12">
        <v>26868.89</v>
      </c>
      <c r="L439" s="12">
        <v>26868.89</v>
      </c>
      <c r="M439" s="12">
        <v>26868.89</v>
      </c>
      <c r="N439" s="12">
        <v>26868.89</v>
      </c>
      <c r="O439" s="12">
        <v>26868.880000000001</v>
      </c>
      <c r="P439" s="12">
        <v>26868.89</v>
      </c>
      <c r="Q439" s="12">
        <f>SUM(E439:P439)</f>
        <v>322426.6700000001</v>
      </c>
      <c r="R439" s="12">
        <v>26868.89</v>
      </c>
      <c r="S439" s="12">
        <v>26868.89</v>
      </c>
      <c r="T439" s="12">
        <v>21785</v>
      </c>
      <c r="U439" s="12">
        <v>21785</v>
      </c>
      <c r="V439" s="12">
        <v>21785.01</v>
      </c>
      <c r="W439" s="12">
        <v>21785</v>
      </c>
      <c r="X439" s="12">
        <v>21785</v>
      </c>
      <c r="Y439" s="12">
        <v>21784.39</v>
      </c>
      <c r="Z439" s="12">
        <v>21785.01</v>
      </c>
      <c r="AA439" s="12">
        <v>21785.01</v>
      </c>
      <c r="AB439" s="12">
        <v>21785</v>
      </c>
      <c r="AC439" s="12">
        <v>21785.01</v>
      </c>
      <c r="AD439" s="12">
        <f>SUM(R439:AC439)</f>
        <v>271587.21000000002</v>
      </c>
      <c r="AE439" s="12">
        <v>21785</v>
      </c>
      <c r="AF439" s="12">
        <v>21785.01</v>
      </c>
      <c r="AG439" s="12">
        <v>21785.01</v>
      </c>
      <c r="AH439" s="12">
        <v>21785</v>
      </c>
      <c r="AI439" s="12">
        <v>21785.01</v>
      </c>
      <c r="AJ439" s="12">
        <v>21785</v>
      </c>
      <c r="AK439" s="12">
        <v>21785</v>
      </c>
      <c r="AL439" s="12">
        <v>21785.01</v>
      </c>
      <c r="AM439" s="12">
        <v>21785</v>
      </c>
      <c r="AN439" s="12">
        <v>21785.01</v>
      </c>
      <c r="AO439" s="12">
        <v>21785.01</v>
      </c>
      <c r="AP439" s="12">
        <v>21785</v>
      </c>
      <c r="AQ439" s="3">
        <f>SUM(AE439:AP439)</f>
        <v>261420.06</v>
      </c>
      <c r="AR439" s="3">
        <v>21862.7</v>
      </c>
      <c r="AS439" s="3">
        <v>21785</v>
      </c>
      <c r="AT439" s="3">
        <v>21785</v>
      </c>
      <c r="AU439" s="3">
        <v>21785.01</v>
      </c>
      <c r="AV439" s="3">
        <v>21785.01</v>
      </c>
      <c r="AW439" s="3">
        <v>21785</v>
      </c>
      <c r="AX439" s="3">
        <v>21785.01</v>
      </c>
      <c r="AY439" s="3">
        <v>21785</v>
      </c>
      <c r="AZ439" s="3">
        <v>21785.01</v>
      </c>
      <c r="BA439" s="3">
        <v>21784.400000000001</v>
      </c>
      <c r="BB439" s="3">
        <v>21785</v>
      </c>
      <c r="BC439" s="3">
        <v>21784.38</v>
      </c>
      <c r="BD439" s="3">
        <f>SUM(AR439:BC439)</f>
        <v>261496.52</v>
      </c>
    </row>
    <row r="440" spans="1:56" ht="13.5" thickBot="1" x14ac:dyDescent="0.35">
      <c r="D440" s="13" t="s">
        <v>214</v>
      </c>
      <c r="E440" s="14">
        <f t="shared" ref="E440:P440" si="352">SUM(E437:E439)</f>
        <v>26946.59</v>
      </c>
      <c r="F440" s="14">
        <f t="shared" si="352"/>
        <v>26868.89</v>
      </c>
      <c r="G440" s="14">
        <f t="shared" si="352"/>
        <v>26868.89</v>
      </c>
      <c r="H440" s="14">
        <f t="shared" si="352"/>
        <v>26868.89</v>
      </c>
      <c r="I440" s="14">
        <f t="shared" si="352"/>
        <v>26868.89</v>
      </c>
      <c r="J440" s="14">
        <f t="shared" si="352"/>
        <v>26868.89</v>
      </c>
      <c r="K440" s="14">
        <f t="shared" si="352"/>
        <v>26868.89</v>
      </c>
      <c r="L440" s="14">
        <f t="shared" si="352"/>
        <v>26868.89</v>
      </c>
      <c r="M440" s="14">
        <f t="shared" si="352"/>
        <v>26868.89</v>
      </c>
      <c r="N440" s="14">
        <f t="shared" si="352"/>
        <v>26868.89</v>
      </c>
      <c r="O440" s="14">
        <f t="shared" si="352"/>
        <v>26868.880000000001</v>
      </c>
      <c r="P440" s="14">
        <f t="shared" si="352"/>
        <v>26868.89</v>
      </c>
      <c r="Q440" s="14">
        <f>SUM(Q437:Q439)</f>
        <v>322504.37000000011</v>
      </c>
      <c r="R440" s="14">
        <f t="shared" ref="R440:AC440" si="353">SUM(R437:R439)</f>
        <v>26946.59</v>
      </c>
      <c r="S440" s="14">
        <f t="shared" si="353"/>
        <v>26868.89</v>
      </c>
      <c r="T440" s="14">
        <f t="shared" si="353"/>
        <v>21785</v>
      </c>
      <c r="U440" s="14">
        <f t="shared" si="353"/>
        <v>21785</v>
      </c>
      <c r="V440" s="14">
        <f t="shared" si="353"/>
        <v>21785.01</v>
      </c>
      <c r="W440" s="14">
        <f t="shared" si="353"/>
        <v>21785</v>
      </c>
      <c r="X440" s="14">
        <f t="shared" si="353"/>
        <v>21785</v>
      </c>
      <c r="Y440" s="14">
        <f t="shared" si="353"/>
        <v>21784.39</v>
      </c>
      <c r="Z440" s="14">
        <f t="shared" si="353"/>
        <v>21785.01</v>
      </c>
      <c r="AA440" s="14">
        <f t="shared" si="353"/>
        <v>21785.01</v>
      </c>
      <c r="AB440" s="14">
        <f t="shared" si="353"/>
        <v>21785</v>
      </c>
      <c r="AC440" s="14">
        <f t="shared" si="353"/>
        <v>21785.01</v>
      </c>
      <c r="AD440" s="14">
        <f>SUM(AD437:AD439)</f>
        <v>271664.91000000003</v>
      </c>
      <c r="AE440" s="14">
        <f>SUM(AE437:AE439)</f>
        <v>21862.7</v>
      </c>
      <c r="AF440" s="14">
        <f>SUM(AF437:AF439)</f>
        <v>21785.01</v>
      </c>
      <c r="AG440" s="14">
        <f t="shared" ref="AG440:AP440" si="354">SUM(AG437:AG439)</f>
        <v>21785.01</v>
      </c>
      <c r="AH440" s="14">
        <f t="shared" si="354"/>
        <v>21785</v>
      </c>
      <c r="AI440" s="14">
        <f t="shared" si="354"/>
        <v>21785.01</v>
      </c>
      <c r="AJ440" s="14">
        <f t="shared" si="354"/>
        <v>21785</v>
      </c>
      <c r="AK440" s="14">
        <f t="shared" si="354"/>
        <v>21785</v>
      </c>
      <c r="AL440" s="14">
        <f t="shared" si="354"/>
        <v>21785.01</v>
      </c>
      <c r="AM440" s="14">
        <f t="shared" si="354"/>
        <v>21785</v>
      </c>
      <c r="AN440" s="14">
        <f t="shared" si="354"/>
        <v>21785.01</v>
      </c>
      <c r="AO440" s="14">
        <f t="shared" si="354"/>
        <v>21785.01</v>
      </c>
      <c r="AP440" s="14">
        <f t="shared" si="354"/>
        <v>21785</v>
      </c>
      <c r="AQ440" s="22">
        <f>SUM(AQ437:AQ439)</f>
        <v>261497.76</v>
      </c>
      <c r="AR440" s="22">
        <f t="shared" ref="AR440:BD440" si="355">SUM(AR437:AR439)</f>
        <v>21940.400000000001</v>
      </c>
      <c r="AS440" s="22">
        <f t="shared" si="355"/>
        <v>21785</v>
      </c>
      <c r="AT440" s="22">
        <f t="shared" si="355"/>
        <v>21785</v>
      </c>
      <c r="AU440" s="22">
        <f t="shared" si="355"/>
        <v>21785.01</v>
      </c>
      <c r="AV440" s="22">
        <f t="shared" si="355"/>
        <v>21785.01</v>
      </c>
      <c r="AW440" s="22">
        <f t="shared" si="355"/>
        <v>21785</v>
      </c>
      <c r="AX440" s="22">
        <f t="shared" si="355"/>
        <v>21785.01</v>
      </c>
      <c r="AY440" s="22">
        <f t="shared" si="355"/>
        <v>21785</v>
      </c>
      <c r="AZ440" s="22">
        <f t="shared" si="355"/>
        <v>21785.01</v>
      </c>
      <c r="BA440" s="22">
        <f t="shared" si="355"/>
        <v>21784.400000000001</v>
      </c>
      <c r="BB440" s="22">
        <f t="shared" si="355"/>
        <v>21785</v>
      </c>
      <c r="BC440" s="22">
        <f t="shared" si="355"/>
        <v>21784.38</v>
      </c>
      <c r="BD440" s="22">
        <f t="shared" si="355"/>
        <v>261574.22</v>
      </c>
    </row>
    <row r="441" spans="1:56" x14ac:dyDescent="0.3">
      <c r="D441" s="15"/>
    </row>
    <row r="442" spans="1:56" ht="15.5" x14ac:dyDescent="0.35">
      <c r="A442" s="33" t="s">
        <v>14</v>
      </c>
      <c r="B442" s="1">
        <f>B430</f>
        <v>47</v>
      </c>
      <c r="C442" s="34" t="s">
        <v>215</v>
      </c>
      <c r="D442" s="25" t="s">
        <v>216</v>
      </c>
    </row>
    <row r="443" spans="1:56" x14ac:dyDescent="0.3">
      <c r="D443" s="8" t="s">
        <v>8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f>SUM(E443:P443)</f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f>SUM(R443:AC443)</f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0</v>
      </c>
      <c r="AM443" s="12">
        <v>0</v>
      </c>
      <c r="AN443" s="12">
        <v>0</v>
      </c>
      <c r="AO443" s="12">
        <v>0</v>
      </c>
      <c r="AP443" s="12">
        <v>0</v>
      </c>
      <c r="AQ443" s="3">
        <f>SUM(AE443:AP443)</f>
        <v>0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0</v>
      </c>
      <c r="BA443" s="3">
        <v>0</v>
      </c>
      <c r="BB443" s="3">
        <v>0</v>
      </c>
      <c r="BC443" s="3">
        <v>0</v>
      </c>
      <c r="BD443" s="3">
        <f>SUM(AR443:BC443)</f>
        <v>0</v>
      </c>
    </row>
    <row r="444" spans="1:56" x14ac:dyDescent="0.3">
      <c r="D444" s="8" t="s">
        <v>9</v>
      </c>
      <c r="E444" s="11">
        <v>97.98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2">
        <f>SUM(E444:P444)</f>
        <v>97.98</v>
      </c>
      <c r="R444" s="11">
        <v>97.97</v>
      </c>
      <c r="AD444" s="12">
        <f>SUM(R444:AC444)</f>
        <v>97.97</v>
      </c>
      <c r="AE444" s="11">
        <v>97.97</v>
      </c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3">
        <f>SUM(AE444:AP444)</f>
        <v>97.97</v>
      </c>
      <c r="AR444" s="3">
        <v>97.98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  <c r="AZ444" s="3">
        <v>0</v>
      </c>
      <c r="BA444" s="3">
        <v>0</v>
      </c>
      <c r="BB444" s="3">
        <v>0</v>
      </c>
      <c r="BC444" s="3">
        <v>0</v>
      </c>
      <c r="BD444" s="3">
        <f>SUM(AR444:BC444)</f>
        <v>97.98</v>
      </c>
    </row>
    <row r="445" spans="1:56" ht="13.5" thickBot="1" x14ac:dyDescent="0.35">
      <c r="A445" t="s">
        <v>210</v>
      </c>
      <c r="D445" s="8" t="s">
        <v>10</v>
      </c>
      <c r="E445" s="12">
        <v>33880.04</v>
      </c>
      <c r="F445" s="11">
        <v>33880.050000000003</v>
      </c>
      <c r="G445" s="11">
        <v>33880.050000000003</v>
      </c>
      <c r="H445" s="12">
        <v>33880.04</v>
      </c>
      <c r="I445" s="12">
        <v>33880.04</v>
      </c>
      <c r="J445" s="12">
        <v>33880.04</v>
      </c>
      <c r="K445" s="12">
        <v>33880.04</v>
      </c>
      <c r="L445" s="11">
        <v>33880.050000000003</v>
      </c>
      <c r="M445" s="11">
        <v>33880.050000000003</v>
      </c>
      <c r="N445" s="12">
        <v>33880.04</v>
      </c>
      <c r="O445" s="11">
        <v>33880.050000000003</v>
      </c>
      <c r="P445" s="12">
        <v>33880.04</v>
      </c>
      <c r="Q445" s="12">
        <f>SUM(E445:P445)</f>
        <v>406560.52999999997</v>
      </c>
      <c r="R445" s="12">
        <v>33880.050000000003</v>
      </c>
      <c r="S445" s="12">
        <v>33880.04</v>
      </c>
      <c r="T445" s="12">
        <v>27469.57</v>
      </c>
      <c r="U445" s="12">
        <v>27469.57</v>
      </c>
      <c r="V445" s="12">
        <v>27469.58</v>
      </c>
      <c r="W445" s="12">
        <v>27469.57</v>
      </c>
      <c r="X445" s="12">
        <v>27469.57</v>
      </c>
      <c r="Y445" s="12">
        <v>27468.79</v>
      </c>
      <c r="Z445" s="12">
        <v>27469.58</v>
      </c>
      <c r="AA445" s="12">
        <v>27469.58</v>
      </c>
      <c r="AB445" s="12">
        <v>27469.57</v>
      </c>
      <c r="AC445" s="12">
        <v>27469.58</v>
      </c>
      <c r="AD445" s="12">
        <f>SUM(R445:AC445)</f>
        <v>342455.05000000005</v>
      </c>
      <c r="AE445" s="12">
        <v>27469.58</v>
      </c>
      <c r="AF445" s="12">
        <v>27469.57</v>
      </c>
      <c r="AG445" s="12">
        <v>27469.57</v>
      </c>
      <c r="AH445" s="12">
        <v>27469.58</v>
      </c>
      <c r="AI445" s="12">
        <v>27469.57</v>
      </c>
      <c r="AJ445" s="12">
        <v>27469.58</v>
      </c>
      <c r="AK445" s="12">
        <v>27469.58</v>
      </c>
      <c r="AL445" s="12">
        <v>27469.57</v>
      </c>
      <c r="AM445" s="12">
        <v>27469.58</v>
      </c>
      <c r="AN445" s="12">
        <v>27469.57</v>
      </c>
      <c r="AO445" s="12">
        <v>27469.57</v>
      </c>
      <c r="AP445" s="12">
        <v>27469.58</v>
      </c>
      <c r="AQ445" s="3">
        <f>SUM(AE445:AP445)</f>
        <v>329634.90000000008</v>
      </c>
      <c r="AR445" s="3">
        <v>27567.55</v>
      </c>
      <c r="AS445" s="3">
        <v>27469.57</v>
      </c>
      <c r="AT445" s="3">
        <v>27469.57</v>
      </c>
      <c r="AU445" s="3">
        <v>27469.58</v>
      </c>
      <c r="AV445" s="3">
        <v>27469.58</v>
      </c>
      <c r="AW445" s="3">
        <v>27469.57</v>
      </c>
      <c r="AX445" s="3">
        <v>27469.58</v>
      </c>
      <c r="AY445" s="3">
        <v>27469.57</v>
      </c>
      <c r="AZ445" s="3">
        <v>27469.58</v>
      </c>
      <c r="BA445" s="3">
        <v>27468.77</v>
      </c>
      <c r="BB445" s="3">
        <v>27469.57</v>
      </c>
      <c r="BC445" s="3">
        <v>27468.79</v>
      </c>
      <c r="BD445" s="3">
        <f>SUM(AR445:BC445)</f>
        <v>329731.28000000003</v>
      </c>
    </row>
    <row r="446" spans="1:56" ht="13.5" thickBot="1" x14ac:dyDescent="0.35">
      <c r="D446" s="13" t="s">
        <v>217</v>
      </c>
      <c r="E446" s="14">
        <f t="shared" ref="E446:P446" si="356">SUM(E443:E445)</f>
        <v>33978.020000000004</v>
      </c>
      <c r="F446" s="14">
        <f t="shared" si="356"/>
        <v>33880.050000000003</v>
      </c>
      <c r="G446" s="14">
        <f t="shared" si="356"/>
        <v>33880.050000000003</v>
      </c>
      <c r="H446" s="14">
        <f t="shared" si="356"/>
        <v>33880.04</v>
      </c>
      <c r="I446" s="14">
        <f t="shared" si="356"/>
        <v>33880.04</v>
      </c>
      <c r="J446" s="14">
        <f t="shared" si="356"/>
        <v>33880.04</v>
      </c>
      <c r="K446" s="14">
        <f t="shared" si="356"/>
        <v>33880.04</v>
      </c>
      <c r="L446" s="14">
        <f t="shared" si="356"/>
        <v>33880.050000000003</v>
      </c>
      <c r="M446" s="14">
        <f t="shared" si="356"/>
        <v>33880.050000000003</v>
      </c>
      <c r="N446" s="14">
        <f t="shared" si="356"/>
        <v>33880.04</v>
      </c>
      <c r="O446" s="14">
        <f t="shared" si="356"/>
        <v>33880.050000000003</v>
      </c>
      <c r="P446" s="14">
        <f t="shared" si="356"/>
        <v>33880.04</v>
      </c>
      <c r="Q446" s="14">
        <f>SUM(Q443:Q445)</f>
        <v>406658.50999999995</v>
      </c>
      <c r="R446" s="14">
        <f t="shared" ref="R446:AC446" si="357">SUM(R443:R445)</f>
        <v>33978.020000000004</v>
      </c>
      <c r="S446" s="14">
        <f t="shared" si="357"/>
        <v>33880.04</v>
      </c>
      <c r="T446" s="14">
        <f t="shared" si="357"/>
        <v>27469.57</v>
      </c>
      <c r="U446" s="14">
        <f t="shared" si="357"/>
        <v>27469.57</v>
      </c>
      <c r="V446" s="14">
        <f t="shared" si="357"/>
        <v>27469.58</v>
      </c>
      <c r="W446" s="14">
        <f t="shared" si="357"/>
        <v>27469.57</v>
      </c>
      <c r="X446" s="14">
        <f t="shared" si="357"/>
        <v>27469.57</v>
      </c>
      <c r="Y446" s="14">
        <f t="shared" si="357"/>
        <v>27468.79</v>
      </c>
      <c r="Z446" s="14">
        <f t="shared" si="357"/>
        <v>27469.58</v>
      </c>
      <c r="AA446" s="14">
        <f t="shared" si="357"/>
        <v>27469.58</v>
      </c>
      <c r="AB446" s="14">
        <f t="shared" si="357"/>
        <v>27469.57</v>
      </c>
      <c r="AC446" s="14">
        <f t="shared" si="357"/>
        <v>27469.58</v>
      </c>
      <c r="AD446" s="14">
        <f>SUM(AD443:AD445)</f>
        <v>342553.02</v>
      </c>
      <c r="AE446" s="14">
        <f>SUM(AE443:AE445)</f>
        <v>27567.550000000003</v>
      </c>
      <c r="AF446" s="14">
        <f>SUM(AF443:AF445)</f>
        <v>27469.57</v>
      </c>
      <c r="AG446" s="14">
        <f t="shared" ref="AG446:AP446" si="358">SUM(AG443:AG445)</f>
        <v>27469.57</v>
      </c>
      <c r="AH446" s="14">
        <f t="shared" si="358"/>
        <v>27469.58</v>
      </c>
      <c r="AI446" s="14">
        <f t="shared" si="358"/>
        <v>27469.57</v>
      </c>
      <c r="AJ446" s="14">
        <f t="shared" si="358"/>
        <v>27469.58</v>
      </c>
      <c r="AK446" s="14">
        <f t="shared" si="358"/>
        <v>27469.58</v>
      </c>
      <c r="AL446" s="14">
        <f t="shared" si="358"/>
        <v>27469.57</v>
      </c>
      <c r="AM446" s="14">
        <f t="shared" si="358"/>
        <v>27469.58</v>
      </c>
      <c r="AN446" s="14">
        <f t="shared" si="358"/>
        <v>27469.57</v>
      </c>
      <c r="AO446" s="14">
        <f t="shared" si="358"/>
        <v>27469.57</v>
      </c>
      <c r="AP446" s="14">
        <f t="shared" si="358"/>
        <v>27469.58</v>
      </c>
      <c r="AQ446" s="22">
        <f>SUM(AQ443:AQ445)</f>
        <v>329732.87000000005</v>
      </c>
      <c r="AR446" s="22">
        <f t="shared" ref="AR446:BD446" si="359">SUM(AR443:AR445)</f>
        <v>27665.53</v>
      </c>
      <c r="AS446" s="22">
        <f t="shared" si="359"/>
        <v>27469.57</v>
      </c>
      <c r="AT446" s="22">
        <f t="shared" si="359"/>
        <v>27469.57</v>
      </c>
      <c r="AU446" s="22">
        <f t="shared" si="359"/>
        <v>27469.58</v>
      </c>
      <c r="AV446" s="22">
        <f t="shared" si="359"/>
        <v>27469.58</v>
      </c>
      <c r="AW446" s="22">
        <f t="shared" si="359"/>
        <v>27469.57</v>
      </c>
      <c r="AX446" s="22">
        <f t="shared" si="359"/>
        <v>27469.58</v>
      </c>
      <c r="AY446" s="22">
        <f t="shared" si="359"/>
        <v>27469.57</v>
      </c>
      <c r="AZ446" s="22">
        <f t="shared" si="359"/>
        <v>27469.58</v>
      </c>
      <c r="BA446" s="22">
        <f t="shared" si="359"/>
        <v>27468.77</v>
      </c>
      <c r="BB446" s="22">
        <f t="shared" si="359"/>
        <v>27469.57</v>
      </c>
      <c r="BC446" s="22">
        <f t="shared" si="359"/>
        <v>27468.79</v>
      </c>
      <c r="BD446" s="22">
        <f t="shared" si="359"/>
        <v>329829.26</v>
      </c>
    </row>
    <row r="447" spans="1:56" x14ac:dyDescent="0.3">
      <c r="D447" s="15"/>
    </row>
    <row r="448" spans="1:56" ht="15.5" x14ac:dyDescent="0.35">
      <c r="B448" s="1">
        <f>B430+1</f>
        <v>48</v>
      </c>
      <c r="C448" s="34" t="s">
        <v>14</v>
      </c>
      <c r="D448" s="25" t="s">
        <v>218</v>
      </c>
    </row>
    <row r="449" spans="1:56" x14ac:dyDescent="0.3">
      <c r="D449" s="8" t="s">
        <v>8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f>SUM(E449:P449)</f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f>SUM(R449:AC449)</f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3">
        <f>SUM(AE449:AP449)</f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0</v>
      </c>
      <c r="BA449" s="3">
        <v>0</v>
      </c>
      <c r="BB449" s="3">
        <v>0</v>
      </c>
      <c r="BC449" s="3">
        <v>0</v>
      </c>
      <c r="BD449" s="3">
        <f>SUM(AR449:BC449)</f>
        <v>0</v>
      </c>
    </row>
    <row r="450" spans="1:56" x14ac:dyDescent="0.3">
      <c r="D450" s="8" t="s">
        <v>9</v>
      </c>
      <c r="E450" s="11">
        <v>250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2">
        <f>SUM(E450:P450)</f>
        <v>250</v>
      </c>
      <c r="R450" s="11">
        <v>250</v>
      </c>
      <c r="AD450" s="12">
        <f>SUM(R450:AC450)</f>
        <v>250</v>
      </c>
      <c r="AE450" s="11">
        <v>250</v>
      </c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3">
        <f>SUM(AE450:AP450)</f>
        <v>250</v>
      </c>
      <c r="AR450" s="3">
        <v>250</v>
      </c>
      <c r="AS450" s="3">
        <v>0</v>
      </c>
      <c r="AT450" s="3">
        <v>0</v>
      </c>
      <c r="AU450" s="3">
        <v>0</v>
      </c>
      <c r="AV450" s="3">
        <v>0</v>
      </c>
      <c r="AW450" s="3">
        <v>0</v>
      </c>
      <c r="AX450" s="3">
        <v>0</v>
      </c>
      <c r="AY450" s="3">
        <v>0</v>
      </c>
      <c r="AZ450" s="3">
        <v>0</v>
      </c>
      <c r="BA450" s="3">
        <v>0</v>
      </c>
      <c r="BB450" s="3">
        <v>0</v>
      </c>
      <c r="BC450" s="3">
        <v>0</v>
      </c>
      <c r="BD450" s="3">
        <f>SUM(AR450:BC450)</f>
        <v>250</v>
      </c>
    </row>
    <row r="451" spans="1:56" ht="13.5" thickBot="1" x14ac:dyDescent="0.35">
      <c r="A451" t="s">
        <v>219</v>
      </c>
      <c r="D451" s="8" t="s">
        <v>10</v>
      </c>
      <c r="E451" s="11">
        <v>17523.79</v>
      </c>
      <c r="F451" s="12">
        <v>17523.8</v>
      </c>
      <c r="G451" s="11">
        <v>17523.79</v>
      </c>
      <c r="H451" s="12">
        <v>17523.8</v>
      </c>
      <c r="I451" s="11">
        <v>17523.79</v>
      </c>
      <c r="J451" s="12">
        <v>17523.8</v>
      </c>
      <c r="K451" s="12">
        <v>17523.8</v>
      </c>
      <c r="L451" s="11">
        <v>17523.79</v>
      </c>
      <c r="M451" s="12">
        <v>17523.8</v>
      </c>
      <c r="N451" s="12">
        <v>17523.8</v>
      </c>
      <c r="O451" s="12">
        <v>17523.8</v>
      </c>
      <c r="P451" s="12">
        <v>17523.8</v>
      </c>
      <c r="Q451" s="12">
        <f>SUM(E451:P451)</f>
        <v>210285.55999999997</v>
      </c>
      <c r="R451" s="12">
        <v>17523.8</v>
      </c>
      <c r="S451" s="12">
        <v>17523.8</v>
      </c>
      <c r="T451" s="11">
        <v>23366</v>
      </c>
      <c r="U451" s="11">
        <v>23366</v>
      </c>
      <c r="V451" s="11">
        <v>23366</v>
      </c>
      <c r="W451" s="11">
        <v>23366</v>
      </c>
      <c r="X451" s="11">
        <v>23366</v>
      </c>
      <c r="Y451" s="11">
        <v>23367</v>
      </c>
      <c r="Z451" s="11">
        <v>23366</v>
      </c>
      <c r="AA451" s="11">
        <v>23366</v>
      </c>
      <c r="AB451" s="11">
        <v>23366</v>
      </c>
      <c r="AC451" s="11">
        <v>23366</v>
      </c>
      <c r="AD451" s="12">
        <f>SUM(R451:AC451)</f>
        <v>268708.59999999998</v>
      </c>
      <c r="AE451" s="11">
        <v>23366</v>
      </c>
      <c r="AF451" s="11">
        <v>23366</v>
      </c>
      <c r="AG451" s="11">
        <v>23366</v>
      </c>
      <c r="AH451" s="11">
        <v>23366</v>
      </c>
      <c r="AI451" s="11">
        <v>23366</v>
      </c>
      <c r="AJ451" s="11">
        <v>23366</v>
      </c>
      <c r="AK451" s="11">
        <v>23366</v>
      </c>
      <c r="AL451" s="11">
        <v>23366</v>
      </c>
      <c r="AM451" s="11">
        <v>23366</v>
      </c>
      <c r="AN451" s="11">
        <v>23366</v>
      </c>
      <c r="AO451" s="11">
        <v>23366</v>
      </c>
      <c r="AP451" s="11">
        <v>23366</v>
      </c>
      <c r="AQ451" s="3">
        <f>SUM(AE451:AP451)</f>
        <v>280392</v>
      </c>
      <c r="AR451" s="3">
        <f>8690+14676</f>
        <v>23366</v>
      </c>
      <c r="AS451" s="3">
        <f>8718+14648</f>
        <v>23366</v>
      </c>
      <c r="AT451" s="3">
        <f>8747+14619</f>
        <v>23366</v>
      </c>
      <c r="AU451" s="3">
        <f>8776+14590</f>
        <v>23366</v>
      </c>
      <c r="AV451" s="3">
        <f>8805+14561</f>
        <v>23366</v>
      </c>
      <c r="AW451" s="3">
        <f>8834+14532</f>
        <v>23366</v>
      </c>
      <c r="AX451" s="3">
        <f>8863+14503</f>
        <v>23366</v>
      </c>
      <c r="AY451" s="3">
        <f>8892+14474</f>
        <v>23366</v>
      </c>
      <c r="AZ451" s="3">
        <f>8921+14445</f>
        <v>23366</v>
      </c>
      <c r="BA451" s="3">
        <f>8951+14416</f>
        <v>23367</v>
      </c>
      <c r="BB451" s="3">
        <f>8980+14386</f>
        <v>23366</v>
      </c>
      <c r="BC451" s="3">
        <f>9010+14357</f>
        <v>23367</v>
      </c>
      <c r="BD451" s="3">
        <f>SUM(AR451:BC451)</f>
        <v>280394</v>
      </c>
    </row>
    <row r="452" spans="1:56" ht="13.5" thickBot="1" x14ac:dyDescent="0.35">
      <c r="D452" s="13" t="s">
        <v>220</v>
      </c>
      <c r="E452" s="14">
        <f t="shared" ref="E452:P452" si="360">SUM(E449:E451)</f>
        <v>17773.79</v>
      </c>
      <c r="F452" s="14">
        <f t="shared" si="360"/>
        <v>17523.8</v>
      </c>
      <c r="G452" s="14">
        <f t="shared" si="360"/>
        <v>17523.79</v>
      </c>
      <c r="H452" s="14">
        <f t="shared" si="360"/>
        <v>17523.8</v>
      </c>
      <c r="I452" s="14">
        <f t="shared" si="360"/>
        <v>17523.79</v>
      </c>
      <c r="J452" s="14">
        <f t="shared" si="360"/>
        <v>17523.8</v>
      </c>
      <c r="K452" s="14">
        <f t="shared" si="360"/>
        <v>17523.8</v>
      </c>
      <c r="L452" s="14">
        <f t="shared" si="360"/>
        <v>17523.79</v>
      </c>
      <c r="M452" s="14">
        <f t="shared" si="360"/>
        <v>17523.8</v>
      </c>
      <c r="N452" s="14">
        <f t="shared" si="360"/>
        <v>17523.8</v>
      </c>
      <c r="O452" s="14">
        <f t="shared" si="360"/>
        <v>17523.8</v>
      </c>
      <c r="P452" s="14">
        <f t="shared" si="360"/>
        <v>17523.8</v>
      </c>
      <c r="Q452" s="14">
        <f>SUM(Q449:Q451)</f>
        <v>210535.55999999997</v>
      </c>
      <c r="R452" s="14">
        <f t="shared" ref="R452:AC452" si="361">SUM(R449:R451)</f>
        <v>17773.8</v>
      </c>
      <c r="S452" s="14">
        <f t="shared" si="361"/>
        <v>17523.8</v>
      </c>
      <c r="T452" s="14">
        <f t="shared" si="361"/>
        <v>23366</v>
      </c>
      <c r="U452" s="14">
        <f t="shared" si="361"/>
        <v>23366</v>
      </c>
      <c r="V452" s="14">
        <f t="shared" si="361"/>
        <v>23366</v>
      </c>
      <c r="W452" s="14">
        <f t="shared" si="361"/>
        <v>23366</v>
      </c>
      <c r="X452" s="14">
        <f t="shared" si="361"/>
        <v>23366</v>
      </c>
      <c r="Y452" s="14">
        <f t="shared" si="361"/>
        <v>23367</v>
      </c>
      <c r="Z452" s="14">
        <f t="shared" si="361"/>
        <v>23366</v>
      </c>
      <c r="AA452" s="14">
        <f t="shared" si="361"/>
        <v>23366</v>
      </c>
      <c r="AB452" s="14">
        <f t="shared" si="361"/>
        <v>23366</v>
      </c>
      <c r="AC452" s="14">
        <f t="shared" si="361"/>
        <v>23366</v>
      </c>
      <c r="AD452" s="14">
        <f>SUM(AD449:AD451)</f>
        <v>268958.59999999998</v>
      </c>
      <c r="AE452" s="14">
        <f>SUM(AE449:AE451)</f>
        <v>23616</v>
      </c>
      <c r="AF452" s="14">
        <f>SUM(AF449:AF451)</f>
        <v>23366</v>
      </c>
      <c r="AG452" s="14">
        <f t="shared" ref="AG452:AP452" si="362">SUM(AG449:AG451)</f>
        <v>23366</v>
      </c>
      <c r="AH452" s="14">
        <f t="shared" si="362"/>
        <v>23366</v>
      </c>
      <c r="AI452" s="14">
        <f t="shared" si="362"/>
        <v>23366</v>
      </c>
      <c r="AJ452" s="14">
        <f t="shared" si="362"/>
        <v>23366</v>
      </c>
      <c r="AK452" s="14">
        <f t="shared" si="362"/>
        <v>23366</v>
      </c>
      <c r="AL452" s="14">
        <f t="shared" si="362"/>
        <v>23366</v>
      </c>
      <c r="AM452" s="14">
        <f t="shared" si="362"/>
        <v>23366</v>
      </c>
      <c r="AN452" s="14">
        <f t="shared" si="362"/>
        <v>23366</v>
      </c>
      <c r="AO452" s="14">
        <f t="shared" si="362"/>
        <v>23366</v>
      </c>
      <c r="AP452" s="14">
        <f t="shared" si="362"/>
        <v>23366</v>
      </c>
      <c r="AQ452" s="22">
        <f>SUM(AQ449:AQ451)</f>
        <v>280642</v>
      </c>
      <c r="AR452" s="22">
        <f t="shared" ref="AR452:BD452" si="363">SUM(AR449:AR451)</f>
        <v>23616</v>
      </c>
      <c r="AS452" s="22">
        <f t="shared" si="363"/>
        <v>23366</v>
      </c>
      <c r="AT452" s="22">
        <f t="shared" si="363"/>
        <v>23366</v>
      </c>
      <c r="AU452" s="22">
        <f t="shared" si="363"/>
        <v>23366</v>
      </c>
      <c r="AV452" s="22">
        <f t="shared" si="363"/>
        <v>23366</v>
      </c>
      <c r="AW452" s="22">
        <f t="shared" si="363"/>
        <v>23366</v>
      </c>
      <c r="AX452" s="22">
        <f t="shared" si="363"/>
        <v>23366</v>
      </c>
      <c r="AY452" s="22">
        <f t="shared" si="363"/>
        <v>23366</v>
      </c>
      <c r="AZ452" s="22">
        <f t="shared" si="363"/>
        <v>23366</v>
      </c>
      <c r="BA452" s="22">
        <f t="shared" si="363"/>
        <v>23367</v>
      </c>
      <c r="BB452" s="22">
        <f t="shared" si="363"/>
        <v>23366</v>
      </c>
      <c r="BC452" s="22">
        <f t="shared" si="363"/>
        <v>23367</v>
      </c>
      <c r="BD452" s="22">
        <f t="shared" si="363"/>
        <v>280644</v>
      </c>
    </row>
    <row r="453" spans="1:56" x14ac:dyDescent="0.3">
      <c r="D453" s="15"/>
    </row>
    <row r="454" spans="1:56" ht="15.5" x14ac:dyDescent="0.35">
      <c r="B454" s="1">
        <f>B448+1</f>
        <v>49</v>
      </c>
      <c r="C454" s="34" t="s">
        <v>14</v>
      </c>
      <c r="D454" s="25" t="s">
        <v>221</v>
      </c>
    </row>
    <row r="455" spans="1:56" x14ac:dyDescent="0.3">
      <c r="D455" s="8" t="s">
        <v>8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f>SUM(E455:P455)</f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f>SUM(R455:AC455)</f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3">
        <f>SUM(AE455:AP455)</f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0</v>
      </c>
      <c r="BA455" s="3">
        <v>0</v>
      </c>
      <c r="BB455" s="3">
        <v>0</v>
      </c>
      <c r="BC455" s="3">
        <v>0</v>
      </c>
      <c r="BD455" s="3">
        <f>SUM(AR455:BC455)</f>
        <v>0</v>
      </c>
    </row>
    <row r="456" spans="1:56" x14ac:dyDescent="0.3">
      <c r="D456" s="8" t="s">
        <v>9</v>
      </c>
      <c r="E456" s="11">
        <v>250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2">
        <f>SUM(E456:P456)</f>
        <v>250</v>
      </c>
      <c r="R456" s="11">
        <v>250</v>
      </c>
      <c r="AD456" s="12">
        <f>SUM(R456:AC456)</f>
        <v>250</v>
      </c>
      <c r="AE456" s="11">
        <v>250</v>
      </c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3">
        <f>SUM(AE456:AP456)</f>
        <v>250</v>
      </c>
      <c r="AR456" s="3">
        <v>250</v>
      </c>
      <c r="AS456" s="3">
        <v>0</v>
      </c>
      <c r="AT456" s="3">
        <v>0</v>
      </c>
      <c r="AU456" s="3">
        <v>0</v>
      </c>
      <c r="AV456" s="3">
        <v>0</v>
      </c>
      <c r="AW456" s="3">
        <v>0</v>
      </c>
      <c r="AX456" s="3">
        <v>0</v>
      </c>
      <c r="AY456" s="3">
        <v>0</v>
      </c>
      <c r="AZ456" s="3">
        <v>0</v>
      </c>
      <c r="BA456" s="3">
        <v>0</v>
      </c>
      <c r="BB456" s="3">
        <v>0</v>
      </c>
      <c r="BC456" s="3">
        <v>0</v>
      </c>
      <c r="BD456" s="3">
        <f>SUM(AR456:BC456)</f>
        <v>250</v>
      </c>
    </row>
    <row r="457" spans="1:56" ht="13.5" thickBot="1" x14ac:dyDescent="0.35">
      <c r="A457" t="s">
        <v>222</v>
      </c>
      <c r="D457" s="8" t="s">
        <v>10</v>
      </c>
      <c r="E457" s="11">
        <v>12850.79</v>
      </c>
      <c r="F457" s="11">
        <v>12850.79</v>
      </c>
      <c r="G457" s="11">
        <v>12850.79</v>
      </c>
      <c r="H457" s="11">
        <v>12850.79</v>
      </c>
      <c r="I457" s="11">
        <v>12850.79</v>
      </c>
      <c r="J457" s="11">
        <v>12850.79</v>
      </c>
      <c r="K457" s="11">
        <v>12850.79</v>
      </c>
      <c r="L457" s="12">
        <v>12850.78</v>
      </c>
      <c r="M457" s="12">
        <v>12850.78</v>
      </c>
      <c r="N457" s="12">
        <v>12850.78</v>
      </c>
      <c r="O457" s="11">
        <v>12850.79</v>
      </c>
      <c r="P457" s="11">
        <v>12850.79</v>
      </c>
      <c r="Q457" s="12">
        <f>SUM(E457:P457)</f>
        <v>154209.45000000001</v>
      </c>
      <c r="R457" s="11">
        <v>12850.79</v>
      </c>
      <c r="S457" s="11">
        <v>12850.79</v>
      </c>
      <c r="T457" s="11">
        <v>23366</v>
      </c>
      <c r="U457" s="11">
        <v>23366</v>
      </c>
      <c r="V457" s="11">
        <v>23366</v>
      </c>
      <c r="W457" s="11">
        <v>23366</v>
      </c>
      <c r="X457" s="11">
        <v>23366</v>
      </c>
      <c r="Y457" s="11">
        <v>23367</v>
      </c>
      <c r="Z457" s="11">
        <v>23366</v>
      </c>
      <c r="AA457" s="11">
        <v>23366</v>
      </c>
      <c r="AB457" s="11">
        <v>23366</v>
      </c>
      <c r="AC457" s="11">
        <v>23366</v>
      </c>
      <c r="AD457" s="12">
        <f>SUM(R457:AC457)</f>
        <v>259362.58000000002</v>
      </c>
      <c r="AE457" s="11">
        <v>23366</v>
      </c>
      <c r="AF457" s="11">
        <v>23366</v>
      </c>
      <c r="AG457" s="11">
        <v>23366</v>
      </c>
      <c r="AH457" s="11">
        <v>23366</v>
      </c>
      <c r="AI457" s="11">
        <v>23366</v>
      </c>
      <c r="AJ457" s="11">
        <v>23366</v>
      </c>
      <c r="AK457" s="11">
        <v>23366</v>
      </c>
      <c r="AL457" s="11">
        <v>23366</v>
      </c>
      <c r="AM457" s="11">
        <v>23366</v>
      </c>
      <c r="AN457" s="11">
        <v>23366</v>
      </c>
      <c r="AO457" s="11">
        <v>23366</v>
      </c>
      <c r="AP457" s="11">
        <v>23366</v>
      </c>
      <c r="AQ457" s="3">
        <f>SUM(AE457:AP457)</f>
        <v>280392</v>
      </c>
      <c r="AR457" s="3">
        <f>8690+14676</f>
        <v>23366</v>
      </c>
      <c r="AS457" s="3">
        <f>8718+14648</f>
        <v>23366</v>
      </c>
      <c r="AT457" s="3">
        <f>8747+14619</f>
        <v>23366</v>
      </c>
      <c r="AU457" s="3">
        <f>8776+14590</f>
        <v>23366</v>
      </c>
      <c r="AV457" s="3">
        <f>8805+14561</f>
        <v>23366</v>
      </c>
      <c r="AW457" s="3">
        <f>8834+14532</f>
        <v>23366</v>
      </c>
      <c r="AX457" s="3">
        <f>8863+14503</f>
        <v>23366</v>
      </c>
      <c r="AY457" s="3">
        <f>8892+14474</f>
        <v>23366</v>
      </c>
      <c r="AZ457" s="3">
        <f>8921+14445</f>
        <v>23366</v>
      </c>
      <c r="BA457" s="3">
        <f>8951+14416</f>
        <v>23367</v>
      </c>
      <c r="BB457" s="3">
        <f>8980+14386</f>
        <v>23366</v>
      </c>
      <c r="BC457" s="3">
        <f>9010+14357</f>
        <v>23367</v>
      </c>
      <c r="BD457" s="3">
        <f>SUM(AR457:BC457)</f>
        <v>280394</v>
      </c>
    </row>
    <row r="458" spans="1:56" ht="13.5" thickBot="1" x14ac:dyDescent="0.35">
      <c r="D458" s="13" t="s">
        <v>223</v>
      </c>
      <c r="E458" s="14">
        <f t="shared" ref="E458:P458" si="364">SUM(E455:E457)</f>
        <v>13100.79</v>
      </c>
      <c r="F458" s="14">
        <f t="shared" si="364"/>
        <v>12850.79</v>
      </c>
      <c r="G458" s="14">
        <f t="shared" si="364"/>
        <v>12850.79</v>
      </c>
      <c r="H458" s="14">
        <f t="shared" si="364"/>
        <v>12850.79</v>
      </c>
      <c r="I458" s="14">
        <f t="shared" si="364"/>
        <v>12850.79</v>
      </c>
      <c r="J458" s="14">
        <f t="shared" si="364"/>
        <v>12850.79</v>
      </c>
      <c r="K458" s="14">
        <f t="shared" si="364"/>
        <v>12850.79</v>
      </c>
      <c r="L458" s="14">
        <f t="shared" si="364"/>
        <v>12850.78</v>
      </c>
      <c r="M458" s="14">
        <f t="shared" si="364"/>
        <v>12850.78</v>
      </c>
      <c r="N458" s="14">
        <f t="shared" si="364"/>
        <v>12850.78</v>
      </c>
      <c r="O458" s="14">
        <f t="shared" si="364"/>
        <v>12850.79</v>
      </c>
      <c r="P458" s="14">
        <f t="shared" si="364"/>
        <v>12850.79</v>
      </c>
      <c r="Q458" s="14">
        <f>SUM(Q455:Q457)</f>
        <v>154459.45000000001</v>
      </c>
      <c r="R458" s="14">
        <f t="shared" ref="R458:AC458" si="365">SUM(R455:R457)</f>
        <v>13100.79</v>
      </c>
      <c r="S458" s="14">
        <f t="shared" si="365"/>
        <v>12850.79</v>
      </c>
      <c r="T458" s="14">
        <f t="shared" si="365"/>
        <v>23366</v>
      </c>
      <c r="U458" s="14">
        <f t="shared" si="365"/>
        <v>23366</v>
      </c>
      <c r="V458" s="14">
        <f t="shared" si="365"/>
        <v>23366</v>
      </c>
      <c r="W458" s="14">
        <f t="shared" si="365"/>
        <v>23366</v>
      </c>
      <c r="X458" s="14">
        <f t="shared" si="365"/>
        <v>23366</v>
      </c>
      <c r="Y458" s="14">
        <f t="shared" si="365"/>
        <v>23367</v>
      </c>
      <c r="Z458" s="14">
        <f t="shared" si="365"/>
        <v>23366</v>
      </c>
      <c r="AA458" s="14">
        <f t="shared" si="365"/>
        <v>23366</v>
      </c>
      <c r="AB458" s="14">
        <f t="shared" si="365"/>
        <v>23366</v>
      </c>
      <c r="AC458" s="14">
        <f t="shared" si="365"/>
        <v>23366</v>
      </c>
      <c r="AD458" s="14">
        <f>SUM(AD455:AD457)</f>
        <v>259612.58000000002</v>
      </c>
      <c r="AE458" s="14">
        <f>SUM(AE455:AE457)</f>
        <v>23616</v>
      </c>
      <c r="AF458" s="14">
        <f>SUM(AF455:AF457)</f>
        <v>23366</v>
      </c>
      <c r="AG458" s="14">
        <f t="shared" ref="AG458:AP458" si="366">SUM(AG455:AG457)</f>
        <v>23366</v>
      </c>
      <c r="AH458" s="14">
        <f t="shared" si="366"/>
        <v>23366</v>
      </c>
      <c r="AI458" s="14">
        <f t="shared" si="366"/>
        <v>23366</v>
      </c>
      <c r="AJ458" s="14">
        <f t="shared" si="366"/>
        <v>23366</v>
      </c>
      <c r="AK458" s="14">
        <f t="shared" si="366"/>
        <v>23366</v>
      </c>
      <c r="AL458" s="14">
        <f t="shared" si="366"/>
        <v>23366</v>
      </c>
      <c r="AM458" s="14">
        <f t="shared" si="366"/>
        <v>23366</v>
      </c>
      <c r="AN458" s="14">
        <f t="shared" si="366"/>
        <v>23366</v>
      </c>
      <c r="AO458" s="14">
        <f t="shared" si="366"/>
        <v>23366</v>
      </c>
      <c r="AP458" s="14">
        <f t="shared" si="366"/>
        <v>23366</v>
      </c>
      <c r="AQ458" s="22">
        <f>SUM(AQ455:AQ457)</f>
        <v>280642</v>
      </c>
      <c r="AR458" s="22">
        <f t="shared" ref="AR458:BD458" si="367">SUM(AR455:AR457)</f>
        <v>23616</v>
      </c>
      <c r="AS458" s="22">
        <f t="shared" si="367"/>
        <v>23366</v>
      </c>
      <c r="AT458" s="22">
        <f t="shared" si="367"/>
        <v>23366</v>
      </c>
      <c r="AU458" s="22">
        <f t="shared" si="367"/>
        <v>23366</v>
      </c>
      <c r="AV458" s="22">
        <f t="shared" si="367"/>
        <v>23366</v>
      </c>
      <c r="AW458" s="22">
        <f t="shared" si="367"/>
        <v>23366</v>
      </c>
      <c r="AX458" s="22">
        <f t="shared" si="367"/>
        <v>23366</v>
      </c>
      <c r="AY458" s="22">
        <f t="shared" si="367"/>
        <v>23366</v>
      </c>
      <c r="AZ458" s="22">
        <f t="shared" si="367"/>
        <v>23366</v>
      </c>
      <c r="BA458" s="22">
        <f t="shared" si="367"/>
        <v>23367</v>
      </c>
      <c r="BB458" s="22">
        <f t="shared" si="367"/>
        <v>23366</v>
      </c>
      <c r="BC458" s="22">
        <f t="shared" si="367"/>
        <v>23367</v>
      </c>
      <c r="BD458" s="22">
        <f t="shared" si="367"/>
        <v>280644</v>
      </c>
    </row>
    <row r="459" spans="1:56" x14ac:dyDescent="0.3">
      <c r="D459" s="15"/>
    </row>
    <row r="460" spans="1:56" ht="15.5" x14ac:dyDescent="0.35">
      <c r="C460" s="30" t="s">
        <v>6</v>
      </c>
      <c r="D460" s="10" t="s">
        <v>224</v>
      </c>
    </row>
    <row r="461" spans="1:56" x14ac:dyDescent="0.3">
      <c r="D461" s="8" t="s">
        <v>8</v>
      </c>
      <c r="E461" s="12">
        <v>0</v>
      </c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>
        <f>SUM(E461:P461)</f>
        <v>0</v>
      </c>
    </row>
    <row r="462" spans="1:56" x14ac:dyDescent="0.3">
      <c r="D462" s="8" t="s">
        <v>9</v>
      </c>
      <c r="E462" s="11">
        <v>250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2">
        <f>SUM(E462:P462)</f>
        <v>250</v>
      </c>
    </row>
    <row r="463" spans="1:56" ht="13.5" thickBot="1" x14ac:dyDescent="0.35">
      <c r="A463" t="s">
        <v>225</v>
      </c>
      <c r="D463" s="8" t="s">
        <v>10</v>
      </c>
      <c r="E463" s="12">
        <v>86093.75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2">
        <f>SUM(E463:P463)</f>
        <v>86093.75</v>
      </c>
    </row>
    <row r="464" spans="1:56" ht="13.5" thickBot="1" x14ac:dyDescent="0.35">
      <c r="D464" s="13" t="s">
        <v>226</v>
      </c>
      <c r="E464" s="14">
        <f t="shared" ref="E464:P464" si="368">SUM(E461:E463)</f>
        <v>86343.75</v>
      </c>
      <c r="F464" s="14">
        <f t="shared" si="368"/>
        <v>0</v>
      </c>
      <c r="G464" s="14">
        <f t="shared" si="368"/>
        <v>0</v>
      </c>
      <c r="H464" s="14">
        <f t="shared" si="368"/>
        <v>0</v>
      </c>
      <c r="I464" s="14">
        <f t="shared" si="368"/>
        <v>0</v>
      </c>
      <c r="J464" s="14">
        <f t="shared" si="368"/>
        <v>0</v>
      </c>
      <c r="K464" s="14">
        <f t="shared" si="368"/>
        <v>0</v>
      </c>
      <c r="L464" s="14">
        <f t="shared" si="368"/>
        <v>0</v>
      </c>
      <c r="M464" s="14">
        <f t="shared" si="368"/>
        <v>0</v>
      </c>
      <c r="N464" s="14">
        <f t="shared" si="368"/>
        <v>0</v>
      </c>
      <c r="O464" s="14">
        <f t="shared" si="368"/>
        <v>0</v>
      </c>
      <c r="P464" s="14">
        <f t="shared" si="368"/>
        <v>0</v>
      </c>
      <c r="Q464" s="14">
        <f>SUM(Q461:Q463)</f>
        <v>86343.75</v>
      </c>
    </row>
    <row r="465" spans="1:56" x14ac:dyDescent="0.3">
      <c r="D465" s="15"/>
    </row>
    <row r="466" spans="1:56" ht="15.5" x14ac:dyDescent="0.35">
      <c r="B466" s="1">
        <f>B454+1</f>
        <v>50</v>
      </c>
      <c r="C466" s="34" t="s">
        <v>14</v>
      </c>
      <c r="D466" s="25" t="s">
        <v>227</v>
      </c>
    </row>
    <row r="467" spans="1:56" x14ac:dyDescent="0.3">
      <c r="D467" s="8" t="s">
        <v>8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f>SUM(E467:P467)</f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f>SUM(R467:AC467)</f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2">
        <v>0</v>
      </c>
      <c r="AQ467" s="3">
        <f>SUM(AE467:AP467)</f>
        <v>0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0</v>
      </c>
      <c r="AX467" s="3">
        <v>0</v>
      </c>
      <c r="AY467" s="3">
        <v>0</v>
      </c>
      <c r="AZ467" s="3">
        <v>0</v>
      </c>
      <c r="BA467" s="3">
        <v>0</v>
      </c>
      <c r="BB467" s="3">
        <v>0</v>
      </c>
      <c r="BC467" s="3">
        <v>0</v>
      </c>
      <c r="BD467" s="3">
        <f>SUM(AR467:BC467)</f>
        <v>0</v>
      </c>
    </row>
    <row r="468" spans="1:56" x14ac:dyDescent="0.3">
      <c r="D468" s="8" t="s">
        <v>9</v>
      </c>
      <c r="E468" s="11">
        <v>250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2">
        <f>SUM(E468:P468)</f>
        <v>250</v>
      </c>
      <c r="R468" s="11">
        <v>250</v>
      </c>
      <c r="AD468" s="12">
        <f>SUM(R468:AC468)</f>
        <v>250</v>
      </c>
      <c r="AE468" s="11">
        <v>250</v>
      </c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3">
        <f>SUM(AE468:AP468)</f>
        <v>250</v>
      </c>
      <c r="AR468" s="3">
        <v>250</v>
      </c>
      <c r="AS468" s="3">
        <v>0</v>
      </c>
      <c r="AT468" s="3">
        <v>0</v>
      </c>
      <c r="AU468" s="3">
        <v>0</v>
      </c>
      <c r="AV468" s="3">
        <v>0</v>
      </c>
      <c r="AW468" s="3">
        <v>0</v>
      </c>
      <c r="AX468" s="3">
        <v>0</v>
      </c>
      <c r="AY468" s="3">
        <v>0</v>
      </c>
      <c r="AZ468" s="3">
        <v>0</v>
      </c>
      <c r="BA468" s="3">
        <v>0</v>
      </c>
      <c r="BB468" s="3">
        <v>0</v>
      </c>
      <c r="BC468" s="3">
        <v>0</v>
      </c>
      <c r="BD468" s="3">
        <f>SUM(AR468:BC468)</f>
        <v>250</v>
      </c>
    </row>
    <row r="469" spans="1:56" ht="13.5" thickBot="1" x14ac:dyDescent="0.35">
      <c r="A469" t="s">
        <v>228</v>
      </c>
      <c r="D469" s="8" t="s">
        <v>10</v>
      </c>
      <c r="E469" s="12">
        <v>138044.79</v>
      </c>
      <c r="F469" s="12">
        <v>138044.79</v>
      </c>
      <c r="G469" s="12">
        <v>138044.79</v>
      </c>
      <c r="H469" s="12">
        <v>138044.79</v>
      </c>
      <c r="I469" s="12">
        <v>138044.79</v>
      </c>
      <c r="J469" s="12">
        <v>138044.79</v>
      </c>
      <c r="K469" s="12">
        <v>138044.79</v>
      </c>
      <c r="L469" s="12">
        <v>138044.79</v>
      </c>
      <c r="M469" s="12">
        <v>138044.79</v>
      </c>
      <c r="N469" s="12">
        <v>138044.79</v>
      </c>
      <c r="O469" s="12">
        <v>138044.79</v>
      </c>
      <c r="P469" s="12">
        <v>138044.79</v>
      </c>
      <c r="Q469" s="12">
        <f>SUM(E469:P469)</f>
        <v>1656537.4800000002</v>
      </c>
      <c r="R469" s="12">
        <f>22916.67+138044.79</f>
        <v>160961.46000000002</v>
      </c>
      <c r="S469" s="12">
        <f t="shared" ref="S469:AC469" si="369">22916.67+138044.79</f>
        <v>160961.46000000002</v>
      </c>
      <c r="T469" s="12">
        <f t="shared" si="369"/>
        <v>160961.46000000002</v>
      </c>
      <c r="U469" s="12">
        <f t="shared" si="369"/>
        <v>160961.46000000002</v>
      </c>
      <c r="V469" s="12">
        <f t="shared" si="369"/>
        <v>160961.46000000002</v>
      </c>
      <c r="W469" s="12">
        <f t="shared" si="369"/>
        <v>160961.46000000002</v>
      </c>
      <c r="X469" s="12">
        <f t="shared" si="369"/>
        <v>160961.46000000002</v>
      </c>
      <c r="Y469" s="12">
        <f t="shared" si="369"/>
        <v>160961.46000000002</v>
      </c>
      <c r="Z469" s="12">
        <f t="shared" si="369"/>
        <v>160961.46000000002</v>
      </c>
      <c r="AA469" s="12">
        <f t="shared" si="369"/>
        <v>160961.46000000002</v>
      </c>
      <c r="AB469" s="12">
        <f t="shared" si="369"/>
        <v>160961.46000000002</v>
      </c>
      <c r="AC469" s="12">
        <f t="shared" si="369"/>
        <v>160961.46000000002</v>
      </c>
      <c r="AD469" s="12">
        <f>SUM(R469:AC469)</f>
        <v>1931537.5199999998</v>
      </c>
      <c r="AE469" s="12">
        <f>40416.67+137070.83</f>
        <v>177487.5</v>
      </c>
      <c r="AF469" s="12">
        <f t="shared" ref="AF469:AP469" si="370">40416.67+137070.83</f>
        <v>177487.5</v>
      </c>
      <c r="AG469" s="12">
        <f t="shared" si="370"/>
        <v>177487.5</v>
      </c>
      <c r="AH469" s="12">
        <f t="shared" si="370"/>
        <v>177487.5</v>
      </c>
      <c r="AI469" s="12">
        <f t="shared" si="370"/>
        <v>177487.5</v>
      </c>
      <c r="AJ469" s="12">
        <f t="shared" si="370"/>
        <v>177487.5</v>
      </c>
      <c r="AK469" s="12">
        <f t="shared" si="370"/>
        <v>177487.5</v>
      </c>
      <c r="AL469" s="12">
        <f t="shared" si="370"/>
        <v>177487.5</v>
      </c>
      <c r="AM469" s="12">
        <f t="shared" si="370"/>
        <v>177487.5</v>
      </c>
      <c r="AN469" s="12">
        <f t="shared" si="370"/>
        <v>177487.5</v>
      </c>
      <c r="AO469" s="12">
        <f t="shared" si="370"/>
        <v>177487.5</v>
      </c>
      <c r="AP469" s="12">
        <f t="shared" si="370"/>
        <v>177487.5</v>
      </c>
      <c r="AQ469" s="3">
        <f>SUM(AE469:AP469)</f>
        <v>2129850</v>
      </c>
      <c r="AR469" s="3">
        <f>42083.33+135289.58</f>
        <v>177372.90999999997</v>
      </c>
      <c r="AS469" s="3">
        <f>42083.33+135289.58</f>
        <v>177372.90999999997</v>
      </c>
      <c r="AT469" s="3">
        <f t="shared" ref="AT469:BC469" si="371">42083.33+135289.58</f>
        <v>177372.90999999997</v>
      </c>
      <c r="AU469" s="3">
        <f t="shared" si="371"/>
        <v>177372.90999999997</v>
      </c>
      <c r="AV469" s="3">
        <f t="shared" si="371"/>
        <v>177372.90999999997</v>
      </c>
      <c r="AW469" s="3">
        <f t="shared" si="371"/>
        <v>177372.90999999997</v>
      </c>
      <c r="AX469" s="3">
        <f t="shared" si="371"/>
        <v>177372.90999999997</v>
      </c>
      <c r="AY469" s="3">
        <f t="shared" si="371"/>
        <v>177372.90999999997</v>
      </c>
      <c r="AZ469" s="3">
        <f t="shared" si="371"/>
        <v>177372.90999999997</v>
      </c>
      <c r="BA469" s="3">
        <f t="shared" si="371"/>
        <v>177372.90999999997</v>
      </c>
      <c r="BB469" s="3">
        <f t="shared" si="371"/>
        <v>177372.90999999997</v>
      </c>
      <c r="BC469" s="3">
        <f t="shared" si="371"/>
        <v>177372.90999999997</v>
      </c>
      <c r="BD469" s="3">
        <f>SUM(AR469:BC469)</f>
        <v>2128474.9199999995</v>
      </c>
    </row>
    <row r="470" spans="1:56" ht="13.5" thickBot="1" x14ac:dyDescent="0.35">
      <c r="D470" s="13" t="s">
        <v>229</v>
      </c>
      <c r="E470" s="14">
        <f t="shared" ref="E470:P470" si="372">SUM(E467:E469)</f>
        <v>138294.79</v>
      </c>
      <c r="F470" s="14">
        <f t="shared" si="372"/>
        <v>138044.79</v>
      </c>
      <c r="G470" s="14">
        <f t="shared" si="372"/>
        <v>138044.79</v>
      </c>
      <c r="H470" s="14">
        <f t="shared" si="372"/>
        <v>138044.79</v>
      </c>
      <c r="I470" s="14">
        <f t="shared" si="372"/>
        <v>138044.79</v>
      </c>
      <c r="J470" s="14">
        <f t="shared" si="372"/>
        <v>138044.79</v>
      </c>
      <c r="K470" s="14">
        <f t="shared" si="372"/>
        <v>138044.79</v>
      </c>
      <c r="L470" s="14">
        <f t="shared" si="372"/>
        <v>138044.79</v>
      </c>
      <c r="M470" s="14">
        <f t="shared" si="372"/>
        <v>138044.79</v>
      </c>
      <c r="N470" s="14">
        <f t="shared" si="372"/>
        <v>138044.79</v>
      </c>
      <c r="O470" s="14">
        <f t="shared" si="372"/>
        <v>138044.79</v>
      </c>
      <c r="P470" s="14">
        <f t="shared" si="372"/>
        <v>138044.79</v>
      </c>
      <c r="Q470" s="14">
        <f>SUM(Q467:Q469)</f>
        <v>1656787.4800000002</v>
      </c>
      <c r="R470" s="14">
        <f t="shared" ref="R470:AC470" si="373">SUM(R467:R469)</f>
        <v>161211.46000000002</v>
      </c>
      <c r="S470" s="14">
        <f t="shared" si="373"/>
        <v>160961.46000000002</v>
      </c>
      <c r="T470" s="14">
        <f t="shared" si="373"/>
        <v>160961.46000000002</v>
      </c>
      <c r="U470" s="14">
        <f t="shared" si="373"/>
        <v>160961.46000000002</v>
      </c>
      <c r="V470" s="14">
        <f t="shared" si="373"/>
        <v>160961.46000000002</v>
      </c>
      <c r="W470" s="14">
        <f t="shared" si="373"/>
        <v>160961.46000000002</v>
      </c>
      <c r="X470" s="14">
        <f t="shared" si="373"/>
        <v>160961.46000000002</v>
      </c>
      <c r="Y470" s="14">
        <f t="shared" si="373"/>
        <v>160961.46000000002</v>
      </c>
      <c r="Z470" s="14">
        <f t="shared" si="373"/>
        <v>160961.46000000002</v>
      </c>
      <c r="AA470" s="14">
        <f t="shared" si="373"/>
        <v>160961.46000000002</v>
      </c>
      <c r="AB470" s="14">
        <f t="shared" si="373"/>
        <v>160961.46000000002</v>
      </c>
      <c r="AC470" s="14">
        <f t="shared" si="373"/>
        <v>160961.46000000002</v>
      </c>
      <c r="AD470" s="14">
        <f>SUM(AD467:AD469)</f>
        <v>1931787.5199999998</v>
      </c>
      <c r="AE470" s="14">
        <f>SUM(AE467:AE469)</f>
        <v>177737.5</v>
      </c>
      <c r="AF470" s="14">
        <f>SUM(AF467:AF469)</f>
        <v>177487.5</v>
      </c>
      <c r="AG470" s="14">
        <f t="shared" ref="AG470:AP470" si="374">SUM(AG467:AG469)</f>
        <v>177487.5</v>
      </c>
      <c r="AH470" s="14">
        <f t="shared" si="374"/>
        <v>177487.5</v>
      </c>
      <c r="AI470" s="14">
        <f t="shared" si="374"/>
        <v>177487.5</v>
      </c>
      <c r="AJ470" s="14">
        <f t="shared" si="374"/>
        <v>177487.5</v>
      </c>
      <c r="AK470" s="14">
        <f t="shared" si="374"/>
        <v>177487.5</v>
      </c>
      <c r="AL470" s="14">
        <f t="shared" si="374"/>
        <v>177487.5</v>
      </c>
      <c r="AM470" s="14">
        <f t="shared" si="374"/>
        <v>177487.5</v>
      </c>
      <c r="AN470" s="14">
        <f t="shared" si="374"/>
        <v>177487.5</v>
      </c>
      <c r="AO470" s="14">
        <f t="shared" si="374"/>
        <v>177487.5</v>
      </c>
      <c r="AP470" s="14">
        <f t="shared" si="374"/>
        <v>177487.5</v>
      </c>
      <c r="AQ470" s="22">
        <f>SUM(AQ467:AQ469)</f>
        <v>2130100</v>
      </c>
      <c r="AR470" s="22">
        <f t="shared" ref="AR470:BD470" si="375">SUM(AR467:AR469)</f>
        <v>177622.90999999997</v>
      </c>
      <c r="AS470" s="22">
        <f t="shared" si="375"/>
        <v>177372.90999999997</v>
      </c>
      <c r="AT470" s="22">
        <f t="shared" si="375"/>
        <v>177372.90999999997</v>
      </c>
      <c r="AU470" s="22">
        <f t="shared" si="375"/>
        <v>177372.90999999997</v>
      </c>
      <c r="AV470" s="22">
        <f t="shared" si="375"/>
        <v>177372.90999999997</v>
      </c>
      <c r="AW470" s="22">
        <f t="shared" si="375"/>
        <v>177372.90999999997</v>
      </c>
      <c r="AX470" s="22">
        <f t="shared" si="375"/>
        <v>177372.90999999997</v>
      </c>
      <c r="AY470" s="22">
        <f t="shared" si="375"/>
        <v>177372.90999999997</v>
      </c>
      <c r="AZ470" s="22">
        <f t="shared" si="375"/>
        <v>177372.90999999997</v>
      </c>
      <c r="BA470" s="22">
        <f t="shared" si="375"/>
        <v>177372.90999999997</v>
      </c>
      <c r="BB470" s="22">
        <f t="shared" si="375"/>
        <v>177372.90999999997</v>
      </c>
      <c r="BC470" s="22">
        <f t="shared" si="375"/>
        <v>177372.90999999997</v>
      </c>
      <c r="BD470" s="22">
        <f t="shared" si="375"/>
        <v>2128724.9199999995</v>
      </c>
    </row>
    <row r="471" spans="1:56" x14ac:dyDescent="0.3">
      <c r="D471" s="15"/>
    </row>
    <row r="472" spans="1:56" ht="15.5" x14ac:dyDescent="0.35">
      <c r="C472" s="32" t="s">
        <v>6</v>
      </c>
      <c r="D472" s="10" t="s">
        <v>230</v>
      </c>
    </row>
    <row r="473" spans="1:56" x14ac:dyDescent="0.3">
      <c r="D473" s="8" t="s">
        <v>8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/>
      <c r="Q473" s="12">
        <f>SUM(E473:P473)</f>
        <v>0</v>
      </c>
    </row>
    <row r="474" spans="1:56" x14ac:dyDescent="0.3">
      <c r="D474" s="8" t="s">
        <v>9</v>
      </c>
      <c r="E474" s="11">
        <v>250</v>
      </c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2">
        <f>SUM(E474:P474)</f>
        <v>250</v>
      </c>
    </row>
    <row r="475" spans="1:56" ht="13.5" thickBot="1" x14ac:dyDescent="0.35">
      <c r="A475" t="s">
        <v>231</v>
      </c>
      <c r="D475" s="8" t="s">
        <v>10</v>
      </c>
      <c r="E475" s="11">
        <v>69801.56</v>
      </c>
      <c r="F475" s="11">
        <v>69801.56</v>
      </c>
      <c r="G475" s="11">
        <v>69801.56</v>
      </c>
      <c r="H475" s="11">
        <v>69801.56</v>
      </c>
      <c r="I475" s="11">
        <v>69801.56</v>
      </c>
      <c r="J475" s="11">
        <v>69801.570000000007</v>
      </c>
      <c r="K475" s="11">
        <v>69104.3</v>
      </c>
      <c r="L475" s="11">
        <v>69104.3</v>
      </c>
      <c r="M475" s="11">
        <v>69104.3</v>
      </c>
      <c r="N475" s="11">
        <v>69104.3</v>
      </c>
      <c r="O475" s="11">
        <v>69104.3</v>
      </c>
      <c r="P475" s="11"/>
      <c r="Q475" s="12">
        <f>SUM(E475:P475)</f>
        <v>764330.87000000011</v>
      </c>
    </row>
    <row r="476" spans="1:56" ht="13.5" thickBot="1" x14ac:dyDescent="0.35">
      <c r="D476" s="13" t="s">
        <v>232</v>
      </c>
      <c r="E476" s="14">
        <f t="shared" ref="E476:P476" si="376">SUM(E473:E475)</f>
        <v>70051.56</v>
      </c>
      <c r="F476" s="14">
        <f t="shared" si="376"/>
        <v>69801.56</v>
      </c>
      <c r="G476" s="14">
        <f t="shared" si="376"/>
        <v>69801.56</v>
      </c>
      <c r="H476" s="14">
        <f t="shared" si="376"/>
        <v>69801.56</v>
      </c>
      <c r="I476" s="14">
        <f t="shared" si="376"/>
        <v>69801.56</v>
      </c>
      <c r="J476" s="14">
        <f t="shared" si="376"/>
        <v>69801.570000000007</v>
      </c>
      <c r="K476" s="14">
        <f t="shared" si="376"/>
        <v>69104.3</v>
      </c>
      <c r="L476" s="14">
        <f t="shared" si="376"/>
        <v>69104.3</v>
      </c>
      <c r="M476" s="14">
        <f t="shared" si="376"/>
        <v>69104.3</v>
      </c>
      <c r="N476" s="14">
        <f t="shared" si="376"/>
        <v>69104.3</v>
      </c>
      <c r="O476" s="14">
        <f t="shared" si="376"/>
        <v>69104.3</v>
      </c>
      <c r="P476" s="14">
        <f t="shared" si="376"/>
        <v>0</v>
      </c>
      <c r="Q476" s="14">
        <f>SUM(Q473:Q475)</f>
        <v>764580.87000000011</v>
      </c>
    </row>
    <row r="477" spans="1:56" x14ac:dyDescent="0.3">
      <c r="D477" s="15"/>
    </row>
    <row r="478" spans="1:56" ht="15.5" x14ac:dyDescent="0.35">
      <c r="B478" s="20">
        <f>+B466+1</f>
        <v>51</v>
      </c>
      <c r="C478" s="1" t="s">
        <v>14</v>
      </c>
      <c r="D478" s="25" t="s">
        <v>233</v>
      </c>
    </row>
    <row r="479" spans="1:56" x14ac:dyDescent="0.3">
      <c r="D479" s="8" t="s">
        <v>8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f>SUM(E479:P479)</f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f>SUM(R479:AC479)</f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0</v>
      </c>
      <c r="AM479" s="12">
        <v>0</v>
      </c>
      <c r="AN479" s="12">
        <v>0</v>
      </c>
      <c r="AO479" s="12">
        <v>0</v>
      </c>
      <c r="AP479" s="12">
        <v>0</v>
      </c>
      <c r="AQ479" s="3">
        <f>SUM(AE479:AP479)</f>
        <v>0</v>
      </c>
      <c r="AR479" s="3">
        <v>0</v>
      </c>
      <c r="AS479" s="3">
        <v>0</v>
      </c>
      <c r="AT479" s="3">
        <v>0</v>
      </c>
      <c r="AU479" s="3">
        <v>0</v>
      </c>
      <c r="AV479" s="3">
        <v>0</v>
      </c>
      <c r="AW479" s="3">
        <v>0</v>
      </c>
      <c r="AX479" s="3">
        <v>0</v>
      </c>
      <c r="AY479" s="3">
        <v>0</v>
      </c>
      <c r="AZ479" s="3">
        <v>0</v>
      </c>
      <c r="BA479" s="3">
        <v>0</v>
      </c>
      <c r="BB479" s="3">
        <v>0</v>
      </c>
      <c r="BC479" s="3">
        <v>0</v>
      </c>
      <c r="BD479" s="3">
        <f>SUM(AR479:BC479)</f>
        <v>0</v>
      </c>
    </row>
    <row r="480" spans="1:56" x14ac:dyDescent="0.3">
      <c r="D480" s="8" t="s">
        <v>9</v>
      </c>
      <c r="E480" s="11">
        <v>250</v>
      </c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2">
        <f>SUM(E480:P480)</f>
        <v>250</v>
      </c>
      <c r="R480" s="11">
        <v>250</v>
      </c>
      <c r="AD480" s="12">
        <f>SUM(R480:AC480)</f>
        <v>250</v>
      </c>
      <c r="AE480" s="11">
        <v>250</v>
      </c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3">
        <f>SUM(AE480:AP480)</f>
        <v>250</v>
      </c>
      <c r="AR480" s="3">
        <v>250</v>
      </c>
      <c r="AS480" s="3">
        <v>0</v>
      </c>
      <c r="AT480" s="3">
        <v>0</v>
      </c>
      <c r="AU480" s="3">
        <v>0</v>
      </c>
      <c r="AV480" s="3">
        <v>0</v>
      </c>
      <c r="AW480" s="3">
        <v>0</v>
      </c>
      <c r="AX480" s="3">
        <v>0</v>
      </c>
      <c r="AY480" s="3">
        <v>0</v>
      </c>
      <c r="AZ480" s="3">
        <v>0</v>
      </c>
      <c r="BA480" s="3">
        <v>0</v>
      </c>
      <c r="BB480" s="3">
        <v>0</v>
      </c>
      <c r="BC480" s="3">
        <v>0</v>
      </c>
      <c r="BD480" s="3">
        <f>SUM(AR480:BC480)</f>
        <v>250</v>
      </c>
    </row>
    <row r="481" spans="1:56" ht="13.5" thickBot="1" x14ac:dyDescent="0.35">
      <c r="A481" t="s">
        <v>234</v>
      </c>
      <c r="D481" s="8" t="s">
        <v>10</v>
      </c>
      <c r="E481" s="12">
        <v>197854.17</v>
      </c>
      <c r="F481" s="12">
        <v>197854.17</v>
      </c>
      <c r="G481" s="12">
        <v>197854.17</v>
      </c>
      <c r="H481" s="11">
        <v>197666.67</v>
      </c>
      <c r="I481" s="11">
        <v>197666.67</v>
      </c>
      <c r="J481" s="11">
        <v>197666.67</v>
      </c>
      <c r="K481" s="11">
        <v>197666.67</v>
      </c>
      <c r="L481" s="11">
        <v>197666.67</v>
      </c>
      <c r="M481" s="11">
        <v>197666.67</v>
      </c>
      <c r="N481" s="11">
        <v>197666.67</v>
      </c>
      <c r="O481" s="11">
        <v>197666.67</v>
      </c>
      <c r="P481" s="11">
        <v>197666.67</v>
      </c>
      <c r="Q481" s="12">
        <f>SUM(E481:P481)</f>
        <v>2372562.5399999996</v>
      </c>
      <c r="R481" s="11">
        <v>197666.67</v>
      </c>
      <c r="S481" s="11">
        <v>197666.67</v>
      </c>
      <c r="T481" s="11">
        <v>197666.67</v>
      </c>
      <c r="U481" s="11">
        <v>197833.34</v>
      </c>
      <c r="V481" s="11">
        <v>197833.34</v>
      </c>
      <c r="W481" s="11">
        <v>197833.34</v>
      </c>
      <c r="X481" s="11">
        <v>197833.34</v>
      </c>
      <c r="Y481" s="11">
        <v>197833.34</v>
      </c>
      <c r="Z481" s="11">
        <v>197833.34</v>
      </c>
      <c r="AA481" s="11">
        <v>197833.34</v>
      </c>
      <c r="AB481" s="11">
        <v>197833.34</v>
      </c>
      <c r="AC481" s="11">
        <v>197833.34</v>
      </c>
      <c r="AD481" s="12">
        <f>SUM(R481:AC481)</f>
        <v>2373500.0700000003</v>
      </c>
      <c r="AE481" s="11">
        <v>197833.34</v>
      </c>
      <c r="AF481" s="11">
        <v>197833.34</v>
      </c>
      <c r="AG481" s="11">
        <v>197833.34</v>
      </c>
      <c r="AH481" s="12">
        <v>197916.68</v>
      </c>
      <c r="AI481" s="12">
        <v>197916.68</v>
      </c>
      <c r="AJ481" s="12">
        <v>197916.68</v>
      </c>
      <c r="AK481" s="12">
        <v>197916.68</v>
      </c>
      <c r="AL481" s="12">
        <v>197916.68</v>
      </c>
      <c r="AM481" s="12">
        <v>197916.68</v>
      </c>
      <c r="AN481" s="12">
        <v>197916.68</v>
      </c>
      <c r="AO481" s="12">
        <v>197916.68</v>
      </c>
      <c r="AP481" s="12">
        <v>197916.68</v>
      </c>
      <c r="AQ481" s="3">
        <f>SUM(AE481:AP481)</f>
        <v>2374750.1399999997</v>
      </c>
      <c r="AR481" s="3">
        <f>33333.34+164583.34</f>
        <v>197916.68</v>
      </c>
      <c r="AS481" s="3">
        <f>33333.34+164583.34</f>
        <v>197916.68</v>
      </c>
      <c r="AT481" s="3">
        <f>33333.34+164583.34</f>
        <v>197916.68</v>
      </c>
      <c r="AU481" s="3">
        <f>35000+162916.67</f>
        <v>197916.67</v>
      </c>
      <c r="AV481" s="3">
        <f t="shared" ref="AV481:BC481" si="377">35000+162916.67</f>
        <v>197916.67</v>
      </c>
      <c r="AW481" s="3">
        <f t="shared" si="377"/>
        <v>197916.67</v>
      </c>
      <c r="AX481" s="3">
        <f t="shared" si="377"/>
        <v>197916.67</v>
      </c>
      <c r="AY481" s="3">
        <f t="shared" si="377"/>
        <v>197916.67</v>
      </c>
      <c r="AZ481" s="3">
        <f t="shared" si="377"/>
        <v>197916.67</v>
      </c>
      <c r="BA481" s="3">
        <f t="shared" si="377"/>
        <v>197916.67</v>
      </c>
      <c r="BB481" s="3">
        <f t="shared" si="377"/>
        <v>197916.67</v>
      </c>
      <c r="BC481" s="3">
        <f t="shared" si="377"/>
        <v>197916.67</v>
      </c>
      <c r="BD481" s="3">
        <f>SUM(AR481:BC481)</f>
        <v>2375000.0699999998</v>
      </c>
    </row>
    <row r="482" spans="1:56" ht="13.5" thickBot="1" x14ac:dyDescent="0.35">
      <c r="D482" s="13" t="s">
        <v>235</v>
      </c>
      <c r="E482" s="14">
        <f t="shared" ref="E482:P482" si="378">SUM(E479:E481)</f>
        <v>198104.17</v>
      </c>
      <c r="F482" s="14">
        <f t="shared" si="378"/>
        <v>197854.17</v>
      </c>
      <c r="G482" s="14">
        <f t="shared" si="378"/>
        <v>197854.17</v>
      </c>
      <c r="H482" s="14">
        <f t="shared" si="378"/>
        <v>197666.67</v>
      </c>
      <c r="I482" s="14">
        <f t="shared" si="378"/>
        <v>197666.67</v>
      </c>
      <c r="J482" s="14">
        <f t="shared" si="378"/>
        <v>197666.67</v>
      </c>
      <c r="K482" s="14">
        <f t="shared" si="378"/>
        <v>197666.67</v>
      </c>
      <c r="L482" s="14">
        <f t="shared" si="378"/>
        <v>197666.67</v>
      </c>
      <c r="M482" s="14">
        <f t="shared" si="378"/>
        <v>197666.67</v>
      </c>
      <c r="N482" s="14">
        <f t="shared" si="378"/>
        <v>197666.67</v>
      </c>
      <c r="O482" s="14">
        <f t="shared" si="378"/>
        <v>197666.67</v>
      </c>
      <c r="P482" s="14">
        <f t="shared" si="378"/>
        <v>197666.67</v>
      </c>
      <c r="Q482" s="14">
        <f>SUM(Q479:Q481)</f>
        <v>2372812.5399999996</v>
      </c>
      <c r="R482" s="14">
        <f t="shared" ref="R482:AC482" si="379">SUM(R479:R481)</f>
        <v>197916.67</v>
      </c>
      <c r="S482" s="14">
        <f t="shared" si="379"/>
        <v>197666.67</v>
      </c>
      <c r="T482" s="14">
        <f t="shared" si="379"/>
        <v>197666.67</v>
      </c>
      <c r="U482" s="14">
        <f t="shared" si="379"/>
        <v>197833.34</v>
      </c>
      <c r="V482" s="14">
        <f t="shared" si="379"/>
        <v>197833.34</v>
      </c>
      <c r="W482" s="14">
        <f t="shared" si="379"/>
        <v>197833.34</v>
      </c>
      <c r="X482" s="14">
        <f t="shared" si="379"/>
        <v>197833.34</v>
      </c>
      <c r="Y482" s="14">
        <f t="shared" si="379"/>
        <v>197833.34</v>
      </c>
      <c r="Z482" s="14">
        <f t="shared" si="379"/>
        <v>197833.34</v>
      </c>
      <c r="AA482" s="14">
        <f t="shared" si="379"/>
        <v>197833.34</v>
      </c>
      <c r="AB482" s="14">
        <f t="shared" si="379"/>
        <v>197833.34</v>
      </c>
      <c r="AC482" s="14">
        <f t="shared" si="379"/>
        <v>197833.34</v>
      </c>
      <c r="AD482" s="14">
        <f>SUM(AD479:AD481)</f>
        <v>2373750.0700000003</v>
      </c>
      <c r="AE482" s="14">
        <f>SUM(AE479:AE481)</f>
        <v>198083.34</v>
      </c>
      <c r="AF482" s="14">
        <f>SUM(AF479:AF481)</f>
        <v>197833.34</v>
      </c>
      <c r="AG482" s="14">
        <f t="shared" ref="AG482:AP482" si="380">SUM(AG479:AG481)</f>
        <v>197833.34</v>
      </c>
      <c r="AH482" s="14">
        <f t="shared" si="380"/>
        <v>197916.68</v>
      </c>
      <c r="AI482" s="14">
        <f t="shared" si="380"/>
        <v>197916.68</v>
      </c>
      <c r="AJ482" s="14">
        <f t="shared" si="380"/>
        <v>197916.68</v>
      </c>
      <c r="AK482" s="14">
        <f t="shared" si="380"/>
        <v>197916.68</v>
      </c>
      <c r="AL482" s="14">
        <f t="shared" si="380"/>
        <v>197916.68</v>
      </c>
      <c r="AM482" s="14">
        <f t="shared" si="380"/>
        <v>197916.68</v>
      </c>
      <c r="AN482" s="14">
        <f t="shared" si="380"/>
        <v>197916.68</v>
      </c>
      <c r="AO482" s="14">
        <f t="shared" si="380"/>
        <v>197916.68</v>
      </c>
      <c r="AP482" s="14">
        <f t="shared" si="380"/>
        <v>197916.68</v>
      </c>
      <c r="AQ482" s="22">
        <f>SUM(AQ479:AQ481)</f>
        <v>2375000.1399999997</v>
      </c>
      <c r="AR482" s="22">
        <f t="shared" ref="AR482:BD482" si="381">SUM(AR479:AR481)</f>
        <v>198166.68</v>
      </c>
      <c r="AS482" s="22">
        <f t="shared" si="381"/>
        <v>197916.68</v>
      </c>
      <c r="AT482" s="22">
        <f t="shared" si="381"/>
        <v>197916.68</v>
      </c>
      <c r="AU482" s="22">
        <f t="shared" si="381"/>
        <v>197916.67</v>
      </c>
      <c r="AV482" s="22">
        <f t="shared" si="381"/>
        <v>197916.67</v>
      </c>
      <c r="AW482" s="22">
        <f t="shared" si="381"/>
        <v>197916.67</v>
      </c>
      <c r="AX482" s="22">
        <f t="shared" si="381"/>
        <v>197916.67</v>
      </c>
      <c r="AY482" s="22">
        <f t="shared" si="381"/>
        <v>197916.67</v>
      </c>
      <c r="AZ482" s="22">
        <f t="shared" si="381"/>
        <v>197916.67</v>
      </c>
      <c r="BA482" s="22">
        <f t="shared" si="381"/>
        <v>197916.67</v>
      </c>
      <c r="BB482" s="22">
        <f t="shared" si="381"/>
        <v>197916.67</v>
      </c>
      <c r="BC482" s="22">
        <f t="shared" si="381"/>
        <v>197916.67</v>
      </c>
      <c r="BD482" s="22">
        <f t="shared" si="381"/>
        <v>2375250.0699999998</v>
      </c>
    </row>
    <row r="483" spans="1:56" x14ac:dyDescent="0.3">
      <c r="D483" s="15"/>
    </row>
    <row r="484" spans="1:56" ht="15.5" x14ac:dyDescent="0.35">
      <c r="B484" s="20"/>
      <c r="C484" s="35" t="s">
        <v>6</v>
      </c>
      <c r="D484" s="10" t="s">
        <v>236</v>
      </c>
    </row>
    <row r="485" spans="1:56" x14ac:dyDescent="0.3">
      <c r="D485" s="8" t="s">
        <v>8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f>SUM(E485:P485)</f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f>SUM(R485:AC485)</f>
        <v>0</v>
      </c>
      <c r="AE485" s="12">
        <v>0</v>
      </c>
      <c r="AF485" s="12">
        <v>0</v>
      </c>
      <c r="AG485" s="12">
        <v>0</v>
      </c>
      <c r="AH485" s="12"/>
      <c r="AI485" s="12"/>
      <c r="AJ485" s="12"/>
      <c r="AK485" s="12"/>
      <c r="AL485" s="12"/>
      <c r="AM485" s="12"/>
      <c r="AN485" s="12"/>
      <c r="AO485" s="12"/>
      <c r="AP485" s="12"/>
      <c r="AQ485" s="3">
        <f>SUM(AE485:AP485)</f>
        <v>0</v>
      </c>
    </row>
    <row r="486" spans="1:56" x14ac:dyDescent="0.3">
      <c r="D486" s="8" t="s">
        <v>9</v>
      </c>
      <c r="E486" s="11">
        <v>250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2">
        <f>SUM(E486:P486)</f>
        <v>250</v>
      </c>
      <c r="R486" s="11">
        <v>250</v>
      </c>
      <c r="AD486" s="12">
        <f>SUM(R486:AC486)</f>
        <v>250</v>
      </c>
      <c r="AE486" s="11">
        <v>250</v>
      </c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3">
        <f>SUM(AE486:AP486)</f>
        <v>250</v>
      </c>
    </row>
    <row r="487" spans="1:56" ht="13.5" thickBot="1" x14ac:dyDescent="0.35">
      <c r="A487" t="s">
        <v>237</v>
      </c>
      <c r="D487" s="8" t="s">
        <v>10</v>
      </c>
      <c r="E487" s="11">
        <v>59134.37</v>
      </c>
      <c r="F487" s="11">
        <v>59134.37</v>
      </c>
      <c r="G487" s="11">
        <v>59134.37</v>
      </c>
      <c r="H487" s="11">
        <v>59134.37</v>
      </c>
      <c r="I487" s="11">
        <v>59134.37</v>
      </c>
      <c r="J487" s="11">
        <v>59134.38</v>
      </c>
      <c r="K487" s="11">
        <v>59134.37</v>
      </c>
      <c r="L487" s="11">
        <v>59134.37</v>
      </c>
      <c r="M487" s="11">
        <v>59134.37</v>
      </c>
      <c r="N487" s="11">
        <v>59134.37</v>
      </c>
      <c r="O487" s="11">
        <v>59134.37</v>
      </c>
      <c r="P487" s="11">
        <v>59134.42</v>
      </c>
      <c r="Q487" s="12">
        <f>SUM(E487:P487)</f>
        <v>709612.50000000012</v>
      </c>
      <c r="R487" s="11">
        <f>8750+50217.71</f>
        <v>58967.71</v>
      </c>
      <c r="S487" s="11">
        <f t="shared" ref="S487:AB487" si="382">8750+50217.71</f>
        <v>58967.71</v>
      </c>
      <c r="T487" s="11">
        <f t="shared" si="382"/>
        <v>58967.71</v>
      </c>
      <c r="U487" s="11">
        <f t="shared" si="382"/>
        <v>58967.71</v>
      </c>
      <c r="V487" s="11">
        <f t="shared" si="382"/>
        <v>58967.71</v>
      </c>
      <c r="W487" s="11">
        <f>8750+50217.7</f>
        <v>58967.7</v>
      </c>
      <c r="X487" s="11">
        <f t="shared" si="382"/>
        <v>58967.71</v>
      </c>
      <c r="Y487" s="11">
        <f t="shared" si="382"/>
        <v>58967.71</v>
      </c>
      <c r="Z487" s="11">
        <f t="shared" si="382"/>
        <v>58967.71</v>
      </c>
      <c r="AA487" s="11">
        <f t="shared" si="382"/>
        <v>58967.71</v>
      </c>
      <c r="AB487" s="11">
        <f t="shared" si="382"/>
        <v>58967.71</v>
      </c>
      <c r="AC487" s="11">
        <f>8750+50217.7</f>
        <v>58967.7</v>
      </c>
      <c r="AD487" s="12">
        <f>SUM(R487:AC487)</f>
        <v>707612.49999999988</v>
      </c>
      <c r="AE487" s="12">
        <f>9583.33+49605.21</f>
        <v>59188.54</v>
      </c>
      <c r="AF487" s="12">
        <f>9583.33+49605.21</f>
        <v>59188.54</v>
      </c>
      <c r="AG487" s="12">
        <f>9583.33+49605.21</f>
        <v>59188.54</v>
      </c>
      <c r="AH487" s="12"/>
      <c r="AI487" s="12"/>
      <c r="AJ487" s="12"/>
      <c r="AK487" s="12"/>
      <c r="AL487" s="12"/>
      <c r="AM487" s="12"/>
      <c r="AN487" s="12"/>
      <c r="AO487" s="12"/>
      <c r="AP487" s="12"/>
      <c r="AQ487" s="3">
        <f>SUM(AE487:AP487)</f>
        <v>177565.62</v>
      </c>
    </row>
    <row r="488" spans="1:56" ht="13.5" thickBot="1" x14ac:dyDescent="0.35">
      <c r="D488" s="13" t="s">
        <v>238</v>
      </c>
      <c r="E488" s="14">
        <f t="shared" ref="E488:P488" si="383">SUM(E485:E487)</f>
        <v>59384.37</v>
      </c>
      <c r="F488" s="14">
        <f t="shared" si="383"/>
        <v>59134.37</v>
      </c>
      <c r="G488" s="14">
        <f t="shared" si="383"/>
        <v>59134.37</v>
      </c>
      <c r="H488" s="14">
        <f t="shared" si="383"/>
        <v>59134.37</v>
      </c>
      <c r="I488" s="14">
        <f t="shared" si="383"/>
        <v>59134.37</v>
      </c>
      <c r="J488" s="14">
        <f t="shared" si="383"/>
        <v>59134.38</v>
      </c>
      <c r="K488" s="14">
        <f t="shared" si="383"/>
        <v>59134.37</v>
      </c>
      <c r="L488" s="14">
        <f t="shared" si="383"/>
        <v>59134.37</v>
      </c>
      <c r="M488" s="14">
        <f t="shared" si="383"/>
        <v>59134.37</v>
      </c>
      <c r="N488" s="14">
        <f t="shared" si="383"/>
        <v>59134.37</v>
      </c>
      <c r="O488" s="14">
        <f t="shared" si="383"/>
        <v>59134.37</v>
      </c>
      <c r="P488" s="14">
        <f t="shared" si="383"/>
        <v>59134.42</v>
      </c>
      <c r="Q488" s="14">
        <f>SUM(Q485:Q487)</f>
        <v>709862.50000000012</v>
      </c>
      <c r="R488" s="14">
        <f t="shared" ref="R488:AC488" si="384">SUM(R485:R487)</f>
        <v>59217.71</v>
      </c>
      <c r="S488" s="14">
        <f t="shared" si="384"/>
        <v>58967.71</v>
      </c>
      <c r="T488" s="14">
        <f t="shared" si="384"/>
        <v>58967.71</v>
      </c>
      <c r="U488" s="14">
        <f t="shared" si="384"/>
        <v>58967.71</v>
      </c>
      <c r="V488" s="14">
        <f t="shared" si="384"/>
        <v>58967.71</v>
      </c>
      <c r="W488" s="14">
        <f t="shared" si="384"/>
        <v>58967.7</v>
      </c>
      <c r="X488" s="14">
        <f t="shared" si="384"/>
        <v>58967.71</v>
      </c>
      <c r="Y488" s="14">
        <f t="shared" si="384"/>
        <v>58967.71</v>
      </c>
      <c r="Z488" s="14">
        <f t="shared" si="384"/>
        <v>58967.71</v>
      </c>
      <c r="AA488" s="14">
        <f t="shared" si="384"/>
        <v>58967.71</v>
      </c>
      <c r="AB488" s="14">
        <f t="shared" si="384"/>
        <v>58967.71</v>
      </c>
      <c r="AC488" s="14">
        <f t="shared" si="384"/>
        <v>58967.7</v>
      </c>
      <c r="AD488" s="14">
        <f>SUM(AD485:AD487)</f>
        <v>707862.49999999988</v>
      </c>
      <c r="AE488" s="14">
        <f>SUM(AE485:AE487)</f>
        <v>59438.54</v>
      </c>
      <c r="AF488" s="14">
        <f>SUM(AF485:AF487)</f>
        <v>59188.54</v>
      </c>
      <c r="AG488" s="14">
        <f t="shared" ref="AG488:AP488" si="385">SUM(AG485:AG487)</f>
        <v>59188.54</v>
      </c>
      <c r="AH488" s="14">
        <f t="shared" si="385"/>
        <v>0</v>
      </c>
      <c r="AI488" s="14">
        <f t="shared" si="385"/>
        <v>0</v>
      </c>
      <c r="AJ488" s="14">
        <f t="shared" si="385"/>
        <v>0</v>
      </c>
      <c r="AK488" s="14">
        <f t="shared" si="385"/>
        <v>0</v>
      </c>
      <c r="AL488" s="14">
        <f t="shared" si="385"/>
        <v>0</v>
      </c>
      <c r="AM488" s="14">
        <f t="shared" si="385"/>
        <v>0</v>
      </c>
      <c r="AN488" s="14">
        <f t="shared" si="385"/>
        <v>0</v>
      </c>
      <c r="AO488" s="14">
        <f t="shared" si="385"/>
        <v>0</v>
      </c>
      <c r="AP488" s="14">
        <f t="shared" si="385"/>
        <v>0</v>
      </c>
      <c r="AQ488" s="22">
        <f>SUM(AQ485:AQ487)</f>
        <v>177815.62</v>
      </c>
    </row>
    <row r="489" spans="1:56" x14ac:dyDescent="0.3">
      <c r="D489" s="15"/>
    </row>
    <row r="490" spans="1:56" ht="15.5" x14ac:dyDescent="0.35">
      <c r="B490" s="20">
        <f>+B478+1</f>
        <v>52</v>
      </c>
      <c r="C490" s="1" t="s">
        <v>14</v>
      </c>
      <c r="D490" s="25" t="s">
        <v>239</v>
      </c>
    </row>
    <row r="491" spans="1:56" x14ac:dyDescent="0.3">
      <c r="D491" s="8" t="s">
        <v>8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f>SUM(E491:P491)</f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f>SUM(R491:AC491)</f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0</v>
      </c>
      <c r="AQ491" s="3">
        <f>SUM(AE491:AP491)</f>
        <v>0</v>
      </c>
      <c r="AR491" s="3">
        <v>0</v>
      </c>
      <c r="AS491" s="3">
        <v>0</v>
      </c>
      <c r="AT491" s="3">
        <v>0</v>
      </c>
      <c r="AU491" s="3">
        <v>0</v>
      </c>
      <c r="AV491" s="3">
        <v>0</v>
      </c>
      <c r="AW491" s="3">
        <v>0</v>
      </c>
      <c r="AX491" s="3">
        <v>0</v>
      </c>
      <c r="AY491" s="3">
        <v>0</v>
      </c>
      <c r="AZ491" s="3">
        <v>0</v>
      </c>
      <c r="BA491" s="3">
        <v>0</v>
      </c>
      <c r="BB491" s="3">
        <v>0</v>
      </c>
      <c r="BC491" s="3">
        <v>0</v>
      </c>
      <c r="BD491" s="3">
        <f>SUM(AR491:BC491)</f>
        <v>0</v>
      </c>
    </row>
    <row r="492" spans="1:56" x14ac:dyDescent="0.3">
      <c r="D492" s="8" t="s">
        <v>9</v>
      </c>
      <c r="E492" s="11">
        <v>250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2">
        <f>SUM(E492:P492)</f>
        <v>250</v>
      </c>
      <c r="R492" s="11">
        <v>250</v>
      </c>
      <c r="AD492" s="12">
        <f>SUM(R492:AC492)</f>
        <v>250</v>
      </c>
      <c r="AE492" s="11">
        <v>250</v>
      </c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3">
        <f>SUM(AE492:AP492)</f>
        <v>250</v>
      </c>
      <c r="AR492" s="3">
        <v>250</v>
      </c>
      <c r="AS492" s="3">
        <v>0</v>
      </c>
      <c r="AT492" s="3">
        <v>0</v>
      </c>
      <c r="AU492" s="3">
        <v>0</v>
      </c>
      <c r="AV492" s="3">
        <v>0</v>
      </c>
      <c r="AW492" s="3">
        <v>0</v>
      </c>
      <c r="AX492" s="3">
        <v>0</v>
      </c>
      <c r="AY492" s="3">
        <v>0</v>
      </c>
      <c r="AZ492" s="3">
        <v>0</v>
      </c>
      <c r="BA492" s="3">
        <v>0</v>
      </c>
      <c r="BB492" s="3">
        <v>0</v>
      </c>
      <c r="BC492" s="3">
        <v>0</v>
      </c>
      <c r="BD492" s="3">
        <f>SUM(AR492:BC492)</f>
        <v>250</v>
      </c>
    </row>
    <row r="493" spans="1:56" ht="13.5" thickBot="1" x14ac:dyDescent="0.35">
      <c r="A493" t="s">
        <v>240</v>
      </c>
      <c r="D493" s="8" t="s">
        <v>10</v>
      </c>
      <c r="E493" s="12">
        <f>44070.83+6250</f>
        <v>50320.83</v>
      </c>
      <c r="F493" s="12">
        <f>44070.83+6250</f>
        <v>50320.83</v>
      </c>
      <c r="G493" s="12">
        <f>44070.83+6250</f>
        <v>50320.83</v>
      </c>
      <c r="H493" s="12">
        <f>44070.85+6250</f>
        <v>50320.85</v>
      </c>
      <c r="I493" s="11">
        <f>43820.83+6250</f>
        <v>50070.83</v>
      </c>
      <c r="J493" s="11">
        <f t="shared" ref="J493:T493" si="386">43820.83+6250</f>
        <v>50070.83</v>
      </c>
      <c r="K493" s="11">
        <f t="shared" si="386"/>
        <v>50070.83</v>
      </c>
      <c r="L493" s="11">
        <f t="shared" si="386"/>
        <v>50070.83</v>
      </c>
      <c r="M493" s="11">
        <f t="shared" si="386"/>
        <v>50070.83</v>
      </c>
      <c r="N493" s="11">
        <f>43820.85+6250</f>
        <v>50070.85</v>
      </c>
      <c r="O493" s="11">
        <f t="shared" si="386"/>
        <v>50070.83</v>
      </c>
      <c r="P493" s="11">
        <f t="shared" si="386"/>
        <v>50070.83</v>
      </c>
      <c r="Q493" s="12">
        <f>SUM(E493:P493)</f>
        <v>601850</v>
      </c>
      <c r="R493" s="11">
        <f t="shared" si="386"/>
        <v>50070.83</v>
      </c>
      <c r="S493" s="11">
        <f t="shared" si="386"/>
        <v>50070.83</v>
      </c>
      <c r="T493" s="11">
        <f t="shared" si="386"/>
        <v>50070.83</v>
      </c>
      <c r="U493" s="11">
        <f>43820.85+6250</f>
        <v>50070.85</v>
      </c>
      <c r="V493" s="11">
        <f>43570.83+6666.66</f>
        <v>50237.490000000005</v>
      </c>
      <c r="W493" s="11">
        <f t="shared" ref="W493:AG493" si="387">43570.83+6666.66</f>
        <v>50237.490000000005</v>
      </c>
      <c r="X493" s="11">
        <f t="shared" si="387"/>
        <v>50237.490000000005</v>
      </c>
      <c r="Y493" s="11">
        <f t="shared" si="387"/>
        <v>50237.490000000005</v>
      </c>
      <c r="Z493" s="11">
        <f t="shared" si="387"/>
        <v>50237.490000000005</v>
      </c>
      <c r="AA493" s="11">
        <f>43570.85+6666.66</f>
        <v>50237.509999999995</v>
      </c>
      <c r="AB493" s="11">
        <f t="shared" si="387"/>
        <v>50237.490000000005</v>
      </c>
      <c r="AC493" s="11">
        <f t="shared" si="387"/>
        <v>50237.490000000005</v>
      </c>
      <c r="AD493" s="12">
        <f>SUM(R493:AC493)</f>
        <v>602183.28</v>
      </c>
      <c r="AE493" s="11">
        <f t="shared" si="387"/>
        <v>50237.490000000005</v>
      </c>
      <c r="AF493" s="11">
        <f t="shared" si="387"/>
        <v>50237.490000000005</v>
      </c>
      <c r="AG493" s="11">
        <f t="shared" si="387"/>
        <v>50237.490000000005</v>
      </c>
      <c r="AH493" s="11">
        <f>43570.85+6666.74</f>
        <v>50237.59</v>
      </c>
      <c r="AI493" s="12">
        <f>43304.16+7083.33</f>
        <v>50387.490000000005</v>
      </c>
      <c r="AJ493" s="12">
        <f t="shared" ref="AJ493:AP493" si="388">43304.16+7083.33</f>
        <v>50387.490000000005</v>
      </c>
      <c r="AK493" s="12">
        <f t="shared" si="388"/>
        <v>50387.490000000005</v>
      </c>
      <c r="AL493" s="12">
        <f t="shared" si="388"/>
        <v>50387.490000000005</v>
      </c>
      <c r="AM493" s="12">
        <f t="shared" si="388"/>
        <v>50387.490000000005</v>
      </c>
      <c r="AN493" s="12">
        <f>43304.2+7083.33</f>
        <v>50387.53</v>
      </c>
      <c r="AO493" s="12">
        <f t="shared" si="388"/>
        <v>50387.490000000005</v>
      </c>
      <c r="AP493" s="12">
        <f t="shared" si="388"/>
        <v>50387.490000000005</v>
      </c>
      <c r="AQ493" s="3">
        <f>SUM(AE493:AP493)</f>
        <v>604050.02</v>
      </c>
      <c r="AR493" s="3">
        <f>43304.16+7083.33</f>
        <v>50387.490000000005</v>
      </c>
      <c r="AS493" s="3">
        <f>43304.16+7083.33</f>
        <v>50387.490000000005</v>
      </c>
      <c r="AT493" s="3">
        <f>43304.16+7083.33</f>
        <v>50387.490000000005</v>
      </c>
      <c r="AU493" s="3">
        <f>43304.2+7083.37</f>
        <v>50387.57</v>
      </c>
      <c r="AV493" s="3">
        <f>43020.83+6666.66</f>
        <v>49687.490000000005</v>
      </c>
      <c r="AW493" s="3">
        <f>43020.83+6666.66</f>
        <v>49687.490000000005</v>
      </c>
      <c r="AX493" s="3">
        <f>43020.83+6666.66</f>
        <v>49687.490000000005</v>
      </c>
      <c r="AY493" s="3">
        <f>43020.83+6666.66</f>
        <v>49687.490000000005</v>
      </c>
      <c r="AZ493" s="3">
        <f>43020.83+6666.66</f>
        <v>49687.490000000005</v>
      </c>
      <c r="BA493" s="3">
        <f>43020.85+6666.66</f>
        <v>49687.509999999995</v>
      </c>
      <c r="BB493" s="3">
        <f>43020.83+6666.66</f>
        <v>49687.490000000005</v>
      </c>
      <c r="BC493" s="3">
        <f>43020.83+6666.66</f>
        <v>49687.490000000005</v>
      </c>
      <c r="BD493" s="3">
        <f>SUM(AR493:BC493)</f>
        <v>599049.98</v>
      </c>
    </row>
    <row r="494" spans="1:56" ht="13.5" thickBot="1" x14ac:dyDescent="0.35">
      <c r="D494" s="13" t="s">
        <v>73</v>
      </c>
      <c r="E494" s="14">
        <f t="shared" ref="E494:P494" si="389">SUM(E491:E493)</f>
        <v>50570.83</v>
      </c>
      <c r="F494" s="14">
        <f t="shared" si="389"/>
        <v>50320.83</v>
      </c>
      <c r="G494" s="14">
        <f t="shared" si="389"/>
        <v>50320.83</v>
      </c>
      <c r="H494" s="14">
        <f t="shared" si="389"/>
        <v>50320.85</v>
      </c>
      <c r="I494" s="14">
        <f t="shared" si="389"/>
        <v>50070.83</v>
      </c>
      <c r="J494" s="14">
        <f t="shared" si="389"/>
        <v>50070.83</v>
      </c>
      <c r="K494" s="14">
        <f t="shared" si="389"/>
        <v>50070.83</v>
      </c>
      <c r="L494" s="14">
        <f t="shared" si="389"/>
        <v>50070.83</v>
      </c>
      <c r="M494" s="14">
        <f t="shared" si="389"/>
        <v>50070.83</v>
      </c>
      <c r="N494" s="14">
        <f t="shared" si="389"/>
        <v>50070.85</v>
      </c>
      <c r="O494" s="14">
        <f t="shared" si="389"/>
        <v>50070.83</v>
      </c>
      <c r="P494" s="14">
        <f t="shared" si="389"/>
        <v>50070.83</v>
      </c>
      <c r="Q494" s="14">
        <f>SUM(Q491:Q493)</f>
        <v>602100</v>
      </c>
      <c r="R494" s="14">
        <f t="shared" ref="R494:AC494" si="390">SUM(R491:R493)</f>
        <v>50320.83</v>
      </c>
      <c r="S494" s="14">
        <f t="shared" si="390"/>
        <v>50070.83</v>
      </c>
      <c r="T494" s="14">
        <f t="shared" si="390"/>
        <v>50070.83</v>
      </c>
      <c r="U494" s="14">
        <f t="shared" si="390"/>
        <v>50070.85</v>
      </c>
      <c r="V494" s="14">
        <f t="shared" si="390"/>
        <v>50237.490000000005</v>
      </c>
      <c r="W494" s="14">
        <f t="shared" si="390"/>
        <v>50237.490000000005</v>
      </c>
      <c r="X494" s="14">
        <f t="shared" si="390"/>
        <v>50237.490000000005</v>
      </c>
      <c r="Y494" s="14">
        <f t="shared" si="390"/>
        <v>50237.490000000005</v>
      </c>
      <c r="Z494" s="14">
        <f t="shared" si="390"/>
        <v>50237.490000000005</v>
      </c>
      <c r="AA494" s="14">
        <f t="shared" si="390"/>
        <v>50237.509999999995</v>
      </c>
      <c r="AB494" s="14">
        <f t="shared" si="390"/>
        <v>50237.490000000005</v>
      </c>
      <c r="AC494" s="14">
        <f t="shared" si="390"/>
        <v>50237.490000000005</v>
      </c>
      <c r="AD494" s="14">
        <f>SUM(AD491:AD493)</f>
        <v>602433.28000000003</v>
      </c>
      <c r="AE494" s="14">
        <f>SUM(AE491:AE493)</f>
        <v>50487.490000000005</v>
      </c>
      <c r="AF494" s="14">
        <f>SUM(AF491:AF493)</f>
        <v>50237.490000000005</v>
      </c>
      <c r="AG494" s="14">
        <f t="shared" ref="AG494:AP494" si="391">SUM(AG491:AG493)</f>
        <v>50237.490000000005</v>
      </c>
      <c r="AH494" s="14">
        <f t="shared" si="391"/>
        <v>50237.59</v>
      </c>
      <c r="AI494" s="14">
        <f t="shared" si="391"/>
        <v>50387.490000000005</v>
      </c>
      <c r="AJ494" s="14">
        <f t="shared" si="391"/>
        <v>50387.490000000005</v>
      </c>
      <c r="AK494" s="14">
        <f t="shared" si="391"/>
        <v>50387.490000000005</v>
      </c>
      <c r="AL494" s="14">
        <f t="shared" si="391"/>
        <v>50387.490000000005</v>
      </c>
      <c r="AM494" s="14">
        <f t="shared" si="391"/>
        <v>50387.490000000005</v>
      </c>
      <c r="AN494" s="14">
        <f t="shared" si="391"/>
        <v>50387.53</v>
      </c>
      <c r="AO494" s="14">
        <f t="shared" si="391"/>
        <v>50387.490000000005</v>
      </c>
      <c r="AP494" s="14">
        <f t="shared" si="391"/>
        <v>50387.490000000005</v>
      </c>
      <c r="AQ494" s="22">
        <f>SUM(AQ491:AQ493)</f>
        <v>604300.02</v>
      </c>
      <c r="AR494" s="22">
        <f t="shared" ref="AR494:BD494" si="392">SUM(AR491:AR493)</f>
        <v>50637.490000000005</v>
      </c>
      <c r="AS494" s="22">
        <f t="shared" si="392"/>
        <v>50387.490000000005</v>
      </c>
      <c r="AT494" s="22">
        <f t="shared" si="392"/>
        <v>50387.490000000005</v>
      </c>
      <c r="AU494" s="22">
        <f t="shared" si="392"/>
        <v>50387.57</v>
      </c>
      <c r="AV494" s="22">
        <f t="shared" si="392"/>
        <v>49687.490000000005</v>
      </c>
      <c r="AW494" s="22">
        <f t="shared" si="392"/>
        <v>49687.490000000005</v>
      </c>
      <c r="AX494" s="22">
        <f t="shared" si="392"/>
        <v>49687.490000000005</v>
      </c>
      <c r="AY494" s="22">
        <f t="shared" si="392"/>
        <v>49687.490000000005</v>
      </c>
      <c r="AZ494" s="22">
        <f t="shared" si="392"/>
        <v>49687.490000000005</v>
      </c>
      <c r="BA494" s="22">
        <f t="shared" si="392"/>
        <v>49687.509999999995</v>
      </c>
      <c r="BB494" s="22">
        <f t="shared" si="392"/>
        <v>49687.490000000005</v>
      </c>
      <c r="BC494" s="22">
        <f t="shared" si="392"/>
        <v>49687.490000000005</v>
      </c>
      <c r="BD494" s="22">
        <f t="shared" si="392"/>
        <v>599299.98</v>
      </c>
    </row>
    <row r="495" spans="1:56" x14ac:dyDescent="0.3">
      <c r="D495" s="15"/>
    </row>
    <row r="496" spans="1:56" ht="15.5" x14ac:dyDescent="0.35">
      <c r="B496" s="20"/>
      <c r="C496" s="35" t="s">
        <v>6</v>
      </c>
      <c r="D496" s="10" t="s">
        <v>241</v>
      </c>
    </row>
    <row r="497" spans="1:58" x14ac:dyDescent="0.3">
      <c r="D497" s="8" t="s">
        <v>8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f>SUM(E497:P497)</f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/>
      <c r="X497" s="12"/>
      <c r="Y497" s="12"/>
      <c r="Z497" s="12"/>
      <c r="AA497" s="12"/>
      <c r="AB497" s="12"/>
      <c r="AC497" s="12"/>
      <c r="AD497" s="12">
        <f>SUM(R497:AC497)</f>
        <v>0</v>
      </c>
    </row>
    <row r="498" spans="1:58" x14ac:dyDescent="0.3">
      <c r="D498" s="8" t="s">
        <v>9</v>
      </c>
      <c r="E498" s="11">
        <v>250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2">
        <f>SUM(E498:P498)</f>
        <v>250</v>
      </c>
      <c r="R498" s="11">
        <v>250</v>
      </c>
      <c r="AD498" s="12">
        <f>SUM(R498:AC498)</f>
        <v>250</v>
      </c>
    </row>
    <row r="499" spans="1:58" ht="13.5" thickBot="1" x14ac:dyDescent="0.35">
      <c r="A499" t="s">
        <v>242</v>
      </c>
      <c r="D499" s="8" t="s">
        <v>10</v>
      </c>
      <c r="E499" s="12">
        <v>28916.67</v>
      </c>
      <c r="F499" s="12">
        <v>28916.67</v>
      </c>
      <c r="G499" s="12">
        <v>28916.67</v>
      </c>
      <c r="H499" s="12">
        <v>28916.67</v>
      </c>
      <c r="I499" s="12">
        <v>28916.67</v>
      </c>
      <c r="J499" s="11">
        <v>55583.33</v>
      </c>
      <c r="K499" s="11">
        <v>55583.33</v>
      </c>
      <c r="L499" s="11">
        <v>55583.33</v>
      </c>
      <c r="M499" s="11">
        <v>55583.33</v>
      </c>
      <c r="N499" s="11">
        <v>55583.33</v>
      </c>
      <c r="O499" s="11">
        <v>55583.33</v>
      </c>
      <c r="P499" s="11">
        <v>55583.33</v>
      </c>
      <c r="Q499" s="12">
        <f>SUM(E499:P499)</f>
        <v>533666.66</v>
      </c>
      <c r="R499" s="11">
        <v>55583.33</v>
      </c>
      <c r="S499" s="11">
        <v>55583.33</v>
      </c>
      <c r="T499" s="11">
        <v>55583.33</v>
      </c>
      <c r="U499" s="11">
        <v>55583.33</v>
      </c>
      <c r="V499" s="11">
        <v>55583.33</v>
      </c>
      <c r="W499" s="11"/>
      <c r="X499" s="11"/>
      <c r="Y499" s="11"/>
      <c r="Z499" s="11"/>
      <c r="AA499" s="11"/>
      <c r="AB499" s="11"/>
      <c r="AC499" s="11"/>
      <c r="AD499" s="12">
        <f>SUM(R499:AC499)</f>
        <v>277916.65000000002</v>
      </c>
    </row>
    <row r="500" spans="1:58" ht="13.5" thickBot="1" x14ac:dyDescent="0.35">
      <c r="D500" s="13" t="s">
        <v>243</v>
      </c>
      <c r="E500" s="14">
        <f t="shared" ref="E500:P500" si="393">SUM(E497:E499)</f>
        <v>29166.67</v>
      </c>
      <c r="F500" s="14">
        <f t="shared" si="393"/>
        <v>28916.67</v>
      </c>
      <c r="G500" s="14">
        <f t="shared" si="393"/>
        <v>28916.67</v>
      </c>
      <c r="H500" s="14">
        <f t="shared" si="393"/>
        <v>28916.67</v>
      </c>
      <c r="I500" s="14">
        <f t="shared" si="393"/>
        <v>28916.67</v>
      </c>
      <c r="J500" s="14">
        <f t="shared" si="393"/>
        <v>55583.33</v>
      </c>
      <c r="K500" s="14">
        <f t="shared" si="393"/>
        <v>55583.33</v>
      </c>
      <c r="L500" s="14">
        <f t="shared" si="393"/>
        <v>55583.33</v>
      </c>
      <c r="M500" s="14">
        <f t="shared" si="393"/>
        <v>55583.33</v>
      </c>
      <c r="N500" s="14">
        <f t="shared" si="393"/>
        <v>55583.33</v>
      </c>
      <c r="O500" s="14">
        <f t="shared" si="393"/>
        <v>55583.33</v>
      </c>
      <c r="P500" s="14">
        <f t="shared" si="393"/>
        <v>55583.33</v>
      </c>
      <c r="Q500" s="14">
        <f>SUM(Q497:Q499)</f>
        <v>533916.66</v>
      </c>
      <c r="R500" s="14">
        <f t="shared" ref="R500:AC500" si="394">SUM(R497:R499)</f>
        <v>55833.33</v>
      </c>
      <c r="S500" s="14">
        <f t="shared" si="394"/>
        <v>55583.33</v>
      </c>
      <c r="T500" s="14">
        <f t="shared" si="394"/>
        <v>55583.33</v>
      </c>
      <c r="U500" s="14">
        <f t="shared" si="394"/>
        <v>55583.33</v>
      </c>
      <c r="V500" s="14">
        <f t="shared" si="394"/>
        <v>55583.33</v>
      </c>
      <c r="W500" s="14">
        <f t="shared" si="394"/>
        <v>0</v>
      </c>
      <c r="X500" s="14">
        <f t="shared" si="394"/>
        <v>0</v>
      </c>
      <c r="Y500" s="14">
        <f t="shared" si="394"/>
        <v>0</v>
      </c>
      <c r="Z500" s="14">
        <f t="shared" si="394"/>
        <v>0</v>
      </c>
      <c r="AA500" s="14">
        <f t="shared" si="394"/>
        <v>0</v>
      </c>
      <c r="AB500" s="14">
        <f t="shared" si="394"/>
        <v>0</v>
      </c>
      <c r="AC500" s="14">
        <f t="shared" si="394"/>
        <v>0</v>
      </c>
      <c r="AD500" s="14">
        <f>SUM(AD497:AD499)</f>
        <v>278166.65000000002</v>
      </c>
    </row>
    <row r="501" spans="1:58" x14ac:dyDescent="0.3">
      <c r="D501" s="15"/>
    </row>
    <row r="502" spans="1:58" ht="15.5" x14ac:dyDescent="0.35">
      <c r="B502" s="20"/>
      <c r="C502" s="35" t="s">
        <v>6</v>
      </c>
      <c r="D502" s="10" t="s">
        <v>244</v>
      </c>
    </row>
    <row r="503" spans="1:58" x14ac:dyDescent="0.3">
      <c r="D503" s="8" t="s">
        <v>8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/>
      <c r="Q503" s="12">
        <f>SUM(E503:P503)</f>
        <v>0</v>
      </c>
    </row>
    <row r="504" spans="1:58" x14ac:dyDescent="0.3">
      <c r="D504" s="8" t="s">
        <v>9</v>
      </c>
      <c r="E504" s="11">
        <v>250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2">
        <f>SUM(E504:P504)</f>
        <v>250</v>
      </c>
    </row>
    <row r="505" spans="1:58" ht="13.5" thickBot="1" x14ac:dyDescent="0.35">
      <c r="A505" t="s">
        <v>245</v>
      </c>
      <c r="D505" s="8" t="s">
        <v>10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1">
        <v>110677.57</v>
      </c>
      <c r="L505" s="11">
        <v>110677.57</v>
      </c>
      <c r="M505" s="11">
        <v>110677.57</v>
      </c>
      <c r="N505" s="11">
        <v>110677.57</v>
      </c>
      <c r="O505" s="11">
        <v>110677.57</v>
      </c>
      <c r="P505" s="11"/>
      <c r="Q505" s="12">
        <f>SUM(E505:P505)</f>
        <v>553387.85000000009</v>
      </c>
      <c r="BF505" s="11"/>
    </row>
    <row r="506" spans="1:58" ht="13.5" thickBot="1" x14ac:dyDescent="0.35">
      <c r="D506" s="13" t="s">
        <v>246</v>
      </c>
      <c r="E506" s="14">
        <f t="shared" ref="E506:P506" si="395">SUM(E503:E505)</f>
        <v>250</v>
      </c>
      <c r="F506" s="14">
        <f t="shared" si="395"/>
        <v>0</v>
      </c>
      <c r="G506" s="14">
        <f t="shared" si="395"/>
        <v>0</v>
      </c>
      <c r="H506" s="14">
        <f t="shared" si="395"/>
        <v>0</v>
      </c>
      <c r="I506" s="14">
        <f t="shared" si="395"/>
        <v>0</v>
      </c>
      <c r="J506" s="14">
        <f t="shared" si="395"/>
        <v>0</v>
      </c>
      <c r="K506" s="14">
        <f t="shared" si="395"/>
        <v>110677.57</v>
      </c>
      <c r="L506" s="14">
        <f t="shared" si="395"/>
        <v>110677.57</v>
      </c>
      <c r="M506" s="14">
        <f t="shared" si="395"/>
        <v>110677.57</v>
      </c>
      <c r="N506" s="14">
        <f t="shared" si="395"/>
        <v>110677.57</v>
      </c>
      <c r="O506" s="14">
        <f t="shared" si="395"/>
        <v>110677.57</v>
      </c>
      <c r="P506" s="14">
        <f t="shared" si="395"/>
        <v>0</v>
      </c>
      <c r="Q506" s="14">
        <f>SUM(Q503:Q505)</f>
        <v>553637.85000000009</v>
      </c>
    </row>
    <row r="507" spans="1:58" x14ac:dyDescent="0.3">
      <c r="D507" s="15"/>
    </row>
    <row r="508" spans="1:58" ht="15.5" x14ac:dyDescent="0.35">
      <c r="B508" s="20">
        <f>+B490+1</f>
        <v>53</v>
      </c>
      <c r="C508" s="1" t="s">
        <v>14</v>
      </c>
      <c r="D508" s="25" t="s">
        <v>247</v>
      </c>
    </row>
    <row r="509" spans="1:58" x14ac:dyDescent="0.3">
      <c r="D509" s="8" t="s">
        <v>8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f>SUM(E509:P509)</f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f>SUM(R509:AC509)</f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0</v>
      </c>
      <c r="AM509" s="12">
        <v>0</v>
      </c>
      <c r="AN509" s="12">
        <v>0</v>
      </c>
      <c r="AO509" s="12">
        <v>0</v>
      </c>
      <c r="AP509" s="12">
        <v>0</v>
      </c>
      <c r="AQ509" s="3">
        <f>SUM(AE509:AP509)</f>
        <v>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  <c r="AZ509" s="3">
        <v>0</v>
      </c>
      <c r="BA509" s="3">
        <v>0</v>
      </c>
      <c r="BB509" s="3">
        <v>0</v>
      </c>
      <c r="BC509" s="3">
        <v>0</v>
      </c>
      <c r="BD509" s="3">
        <f>SUM(AR509:BC509)</f>
        <v>0</v>
      </c>
    </row>
    <row r="510" spans="1:58" x14ac:dyDescent="0.3">
      <c r="D510" s="8" t="s">
        <v>9</v>
      </c>
      <c r="E510" s="11">
        <v>250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2">
        <f>SUM(E510:P510)</f>
        <v>250</v>
      </c>
      <c r="R510" s="11">
        <v>250</v>
      </c>
      <c r="AD510" s="12">
        <f>SUM(R510:AC510)</f>
        <v>250</v>
      </c>
      <c r="AE510" s="11">
        <v>250</v>
      </c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3">
        <f>SUM(AE510:AP510)</f>
        <v>250</v>
      </c>
      <c r="AR510" s="3">
        <v>250</v>
      </c>
      <c r="AS510" s="3">
        <v>0</v>
      </c>
      <c r="AT510" s="3">
        <v>0</v>
      </c>
      <c r="AU510" s="3">
        <v>0</v>
      </c>
      <c r="AV510" s="3">
        <v>0</v>
      </c>
      <c r="AW510" s="3">
        <v>0</v>
      </c>
      <c r="AX510" s="3">
        <v>0</v>
      </c>
      <c r="AY510" s="3">
        <v>0</v>
      </c>
      <c r="AZ510" s="3">
        <v>0</v>
      </c>
      <c r="BA510" s="3">
        <v>0</v>
      </c>
      <c r="BB510" s="3">
        <v>0</v>
      </c>
      <c r="BC510" s="3">
        <v>0</v>
      </c>
      <c r="BD510" s="3">
        <f>SUM(AR510:BC510)</f>
        <v>250</v>
      </c>
    </row>
    <row r="511" spans="1:58" ht="13.5" thickBot="1" x14ac:dyDescent="0.35">
      <c r="A511" t="s">
        <v>248</v>
      </c>
      <c r="D511" s="8" t="s">
        <v>10</v>
      </c>
      <c r="E511" s="11">
        <v>42338.43</v>
      </c>
      <c r="F511" s="11">
        <v>42338.85</v>
      </c>
      <c r="G511" s="11">
        <v>42339.17</v>
      </c>
      <c r="H511" s="11">
        <v>42338.39</v>
      </c>
      <c r="I511" s="11">
        <v>42338.5</v>
      </c>
      <c r="J511" s="11">
        <v>42338.52</v>
      </c>
      <c r="K511" s="11">
        <v>42338.43</v>
      </c>
      <c r="L511" s="11">
        <v>42338.25</v>
      </c>
      <c r="M511" s="11">
        <v>42338.96</v>
      </c>
      <c r="N511" s="11">
        <v>42338.57</v>
      </c>
      <c r="O511" s="11">
        <v>42339.08</v>
      </c>
      <c r="P511" s="11">
        <v>42338.48</v>
      </c>
      <c r="Q511" s="12">
        <f>SUM(E511:P511)</f>
        <v>508063.63</v>
      </c>
      <c r="R511" s="11">
        <v>42338.78</v>
      </c>
      <c r="S511" s="11">
        <v>42338.98</v>
      </c>
      <c r="T511" s="11">
        <v>42339.08</v>
      </c>
      <c r="U511" s="11">
        <v>42339.07</v>
      </c>
      <c r="V511" s="11">
        <v>42338.96</v>
      </c>
      <c r="W511" s="11">
        <v>42338.75</v>
      </c>
      <c r="X511" s="11">
        <v>42338.43</v>
      </c>
      <c r="Y511" s="11">
        <v>42339.01</v>
      </c>
      <c r="Z511" s="11">
        <v>42338.48</v>
      </c>
      <c r="AA511" s="11">
        <v>42338.85</v>
      </c>
      <c r="AB511" s="11">
        <v>42339.12</v>
      </c>
      <c r="AC511" s="11">
        <v>42338.28</v>
      </c>
      <c r="AD511" s="12">
        <f>SUM(R511:AC511)</f>
        <v>508065.78999999992</v>
      </c>
      <c r="AE511" s="12">
        <v>42338.34</v>
      </c>
      <c r="AF511" s="12">
        <v>42338.29</v>
      </c>
      <c r="AG511" s="12">
        <v>42339.13</v>
      </c>
      <c r="AH511" s="12">
        <v>42338.87</v>
      </c>
      <c r="AI511" s="12">
        <v>42338.5</v>
      </c>
      <c r="AJ511" s="12">
        <v>42339.03</v>
      </c>
      <c r="AK511" s="12">
        <v>42338.45</v>
      </c>
      <c r="AL511" s="12">
        <v>42338.77</v>
      </c>
      <c r="AM511" s="12">
        <v>42338.97</v>
      </c>
      <c r="AN511" s="12">
        <v>42339.07</v>
      </c>
      <c r="AO511" s="12">
        <v>42339.07</v>
      </c>
      <c r="AP511" s="12">
        <v>42338.95</v>
      </c>
      <c r="AQ511" s="3">
        <f>SUM(AE511:AP511)</f>
        <v>508065.44</v>
      </c>
      <c r="AR511" s="3">
        <f>25321+17017.73</f>
        <v>42338.729999999996</v>
      </c>
      <c r="AS511" s="3">
        <f>25373+16965.4</f>
        <v>42338.400000000001</v>
      </c>
      <c r="AT511" s="3">
        <f>25426+16912.96</f>
        <v>42338.96</v>
      </c>
      <c r="AU511" s="3">
        <f>25478+16860.41</f>
        <v>42338.41</v>
      </c>
      <c r="AV511" s="3">
        <f>25531+16807.76</f>
        <v>42338.759999999995</v>
      </c>
      <c r="AW511" s="3">
        <f>25584+16755</f>
        <v>42339</v>
      </c>
      <c r="AX511" s="3">
        <f>25637+16702.12</f>
        <v>42339.119999999995</v>
      </c>
      <c r="AY511" s="3">
        <f>25690+16649.14</f>
        <v>42339.14</v>
      </c>
      <c r="AZ511" s="3">
        <f>25743+16596.05</f>
        <v>42339.05</v>
      </c>
      <c r="BA511" s="3">
        <f>25796+16542.84</f>
        <v>42338.84</v>
      </c>
      <c r="BB511" s="3">
        <f>25849+16489.53</f>
        <v>42338.53</v>
      </c>
      <c r="BC511" s="3">
        <f>25903+16436.11</f>
        <v>42339.11</v>
      </c>
      <c r="BD511" s="3">
        <f>SUM(AR511:BC511)</f>
        <v>508066.05000000005</v>
      </c>
    </row>
    <row r="512" spans="1:58" ht="13.5" thickBot="1" x14ac:dyDescent="0.35">
      <c r="D512" s="13" t="s">
        <v>249</v>
      </c>
      <c r="E512" s="14">
        <f t="shared" ref="E512:P512" si="396">SUM(E509:E511)</f>
        <v>42588.43</v>
      </c>
      <c r="F512" s="14">
        <f t="shared" si="396"/>
        <v>42338.85</v>
      </c>
      <c r="G512" s="14">
        <f t="shared" si="396"/>
        <v>42339.17</v>
      </c>
      <c r="H512" s="14">
        <f t="shared" si="396"/>
        <v>42338.39</v>
      </c>
      <c r="I512" s="14">
        <f t="shared" si="396"/>
        <v>42338.5</v>
      </c>
      <c r="J512" s="14">
        <f t="shared" si="396"/>
        <v>42338.52</v>
      </c>
      <c r="K512" s="14">
        <f t="shared" si="396"/>
        <v>42338.43</v>
      </c>
      <c r="L512" s="14">
        <f t="shared" si="396"/>
        <v>42338.25</v>
      </c>
      <c r="M512" s="14">
        <f t="shared" si="396"/>
        <v>42338.96</v>
      </c>
      <c r="N512" s="14">
        <f t="shared" si="396"/>
        <v>42338.57</v>
      </c>
      <c r="O512" s="14">
        <f t="shared" si="396"/>
        <v>42339.08</v>
      </c>
      <c r="P512" s="14">
        <f t="shared" si="396"/>
        <v>42338.48</v>
      </c>
      <c r="Q512" s="14">
        <f>SUM(Q509:Q511)</f>
        <v>508313.63</v>
      </c>
      <c r="R512" s="14">
        <f t="shared" ref="R512:AC512" si="397">SUM(R509:R511)</f>
        <v>42588.78</v>
      </c>
      <c r="S512" s="14">
        <f t="shared" si="397"/>
        <v>42338.98</v>
      </c>
      <c r="T512" s="14">
        <f t="shared" si="397"/>
        <v>42339.08</v>
      </c>
      <c r="U512" s="14">
        <f t="shared" si="397"/>
        <v>42339.07</v>
      </c>
      <c r="V512" s="14">
        <f t="shared" si="397"/>
        <v>42338.96</v>
      </c>
      <c r="W512" s="14">
        <f t="shared" si="397"/>
        <v>42338.75</v>
      </c>
      <c r="X512" s="14">
        <f t="shared" si="397"/>
        <v>42338.43</v>
      </c>
      <c r="Y512" s="14">
        <f t="shared" si="397"/>
        <v>42339.01</v>
      </c>
      <c r="Z512" s="14">
        <f t="shared" si="397"/>
        <v>42338.48</v>
      </c>
      <c r="AA512" s="14">
        <f t="shared" si="397"/>
        <v>42338.85</v>
      </c>
      <c r="AB512" s="14">
        <f t="shared" si="397"/>
        <v>42339.12</v>
      </c>
      <c r="AC512" s="14">
        <f t="shared" si="397"/>
        <v>42338.28</v>
      </c>
      <c r="AD512" s="14">
        <f>SUM(AD509:AD511)</f>
        <v>508315.78999999992</v>
      </c>
      <c r="AE512" s="14">
        <f>SUM(AE509:AE511)</f>
        <v>42588.34</v>
      </c>
      <c r="AF512" s="14">
        <f>SUM(AF509:AF511)</f>
        <v>42338.29</v>
      </c>
      <c r="AG512" s="14">
        <f t="shared" ref="AG512:AP512" si="398">SUM(AG509:AG511)</f>
        <v>42339.13</v>
      </c>
      <c r="AH512" s="14">
        <f t="shared" si="398"/>
        <v>42338.87</v>
      </c>
      <c r="AI512" s="14">
        <f t="shared" si="398"/>
        <v>42338.5</v>
      </c>
      <c r="AJ512" s="14">
        <f t="shared" si="398"/>
        <v>42339.03</v>
      </c>
      <c r="AK512" s="14">
        <f t="shared" si="398"/>
        <v>42338.45</v>
      </c>
      <c r="AL512" s="14">
        <f t="shared" si="398"/>
        <v>42338.77</v>
      </c>
      <c r="AM512" s="14">
        <f t="shared" si="398"/>
        <v>42338.97</v>
      </c>
      <c r="AN512" s="14">
        <f t="shared" si="398"/>
        <v>42339.07</v>
      </c>
      <c r="AO512" s="14">
        <f t="shared" si="398"/>
        <v>42339.07</v>
      </c>
      <c r="AP512" s="14">
        <f t="shared" si="398"/>
        <v>42338.95</v>
      </c>
      <c r="AQ512" s="22">
        <f>SUM(AQ509:AQ511)</f>
        <v>508315.44</v>
      </c>
      <c r="AR512" s="22">
        <f t="shared" ref="AR512:BD512" si="399">SUM(AR509:AR511)</f>
        <v>42588.729999999996</v>
      </c>
      <c r="AS512" s="22">
        <f t="shared" si="399"/>
        <v>42338.400000000001</v>
      </c>
      <c r="AT512" s="22">
        <f t="shared" si="399"/>
        <v>42338.96</v>
      </c>
      <c r="AU512" s="22">
        <f t="shared" si="399"/>
        <v>42338.41</v>
      </c>
      <c r="AV512" s="22">
        <f t="shared" si="399"/>
        <v>42338.759999999995</v>
      </c>
      <c r="AW512" s="22">
        <f t="shared" si="399"/>
        <v>42339</v>
      </c>
      <c r="AX512" s="22">
        <f t="shared" si="399"/>
        <v>42339.119999999995</v>
      </c>
      <c r="AY512" s="22">
        <f t="shared" si="399"/>
        <v>42339.14</v>
      </c>
      <c r="AZ512" s="22">
        <f t="shared" si="399"/>
        <v>42339.05</v>
      </c>
      <c r="BA512" s="22">
        <f t="shared" si="399"/>
        <v>42338.84</v>
      </c>
      <c r="BB512" s="22">
        <f t="shared" si="399"/>
        <v>42338.53</v>
      </c>
      <c r="BC512" s="22">
        <f t="shared" si="399"/>
        <v>42339.11</v>
      </c>
      <c r="BD512" s="22">
        <f t="shared" si="399"/>
        <v>508316.05000000005</v>
      </c>
    </row>
    <row r="513" spans="1:56" x14ac:dyDescent="0.3">
      <c r="D513" s="15"/>
    </row>
    <row r="514" spans="1:56" ht="15.5" x14ac:dyDescent="0.35">
      <c r="B514" s="20">
        <f>+B508+1</f>
        <v>54</v>
      </c>
      <c r="C514" s="1" t="s">
        <v>14</v>
      </c>
      <c r="D514" s="25" t="s">
        <v>250</v>
      </c>
    </row>
    <row r="515" spans="1:56" x14ac:dyDescent="0.3">
      <c r="D515" s="8" t="s">
        <v>8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f>SUM(E515:P515)</f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f>SUM(R515:AC515)</f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0</v>
      </c>
      <c r="AQ515" s="3">
        <f>SUM(AE515:AP515)</f>
        <v>0</v>
      </c>
      <c r="AR515" s="3">
        <v>0</v>
      </c>
      <c r="AS515" s="3">
        <v>0</v>
      </c>
      <c r="AT515" s="3">
        <v>0</v>
      </c>
      <c r="AU515" s="3">
        <v>0</v>
      </c>
      <c r="AV515" s="3">
        <v>0</v>
      </c>
      <c r="AW515" s="3">
        <v>0</v>
      </c>
      <c r="AX515" s="3">
        <v>0</v>
      </c>
      <c r="AY515" s="3">
        <v>0</v>
      </c>
      <c r="AZ515" s="3">
        <v>0</v>
      </c>
      <c r="BA515" s="3">
        <v>0</v>
      </c>
      <c r="BB515" s="3">
        <v>0</v>
      </c>
      <c r="BC515" s="3">
        <v>0</v>
      </c>
      <c r="BD515" s="3">
        <f>SUM(AR515:BC515)</f>
        <v>0</v>
      </c>
    </row>
    <row r="516" spans="1:56" x14ac:dyDescent="0.3">
      <c r="D516" s="8" t="s">
        <v>9</v>
      </c>
      <c r="E516" s="11">
        <v>250</v>
      </c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2">
        <f>SUM(E516:P516)</f>
        <v>250</v>
      </c>
      <c r="R516" s="11">
        <v>250</v>
      </c>
      <c r="AD516" s="12">
        <f>SUM(R516:AC516)</f>
        <v>250</v>
      </c>
      <c r="AE516" s="11">
        <v>250</v>
      </c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3">
        <f>SUM(AE516:AP516)</f>
        <v>250</v>
      </c>
      <c r="AR516" s="3">
        <v>250</v>
      </c>
      <c r="AS516" s="3">
        <v>0</v>
      </c>
      <c r="AT516" s="3">
        <v>0</v>
      </c>
      <c r="AU516" s="3">
        <v>0</v>
      </c>
      <c r="AV516" s="3">
        <v>0</v>
      </c>
      <c r="AW516" s="3">
        <v>0</v>
      </c>
      <c r="AX516" s="3">
        <v>0</v>
      </c>
      <c r="AY516" s="3">
        <v>0</v>
      </c>
      <c r="AZ516" s="3">
        <v>0</v>
      </c>
      <c r="BA516" s="3">
        <v>0</v>
      </c>
      <c r="BB516" s="3">
        <v>0</v>
      </c>
      <c r="BC516" s="3">
        <v>0</v>
      </c>
      <c r="BD516" s="3">
        <f>SUM(AR516:BC516)</f>
        <v>250</v>
      </c>
    </row>
    <row r="517" spans="1:56" ht="13.5" thickBot="1" x14ac:dyDescent="0.35">
      <c r="A517" t="s">
        <v>251</v>
      </c>
      <c r="D517" s="8" t="s">
        <v>10</v>
      </c>
      <c r="E517" s="11">
        <v>76337.111000000004</v>
      </c>
      <c r="F517" s="11">
        <v>76337.73</v>
      </c>
      <c r="G517" s="11">
        <v>76337.02</v>
      </c>
      <c r="H517" s="11">
        <v>76337</v>
      </c>
      <c r="I517" s="11">
        <v>76337.66</v>
      </c>
      <c r="J517" s="11">
        <v>76336.990000000005</v>
      </c>
      <c r="K517" s="11">
        <v>76336.990000000005</v>
      </c>
      <c r="L517" s="11">
        <v>76337.67</v>
      </c>
      <c r="M517" s="11">
        <v>76337.02</v>
      </c>
      <c r="N517" s="11">
        <v>76337.039999999994</v>
      </c>
      <c r="O517" s="11">
        <v>76337.73</v>
      </c>
      <c r="P517" s="11">
        <v>76337.08</v>
      </c>
      <c r="Q517" s="12">
        <f>SUM(E517:P517)</f>
        <v>916047.04100000008</v>
      </c>
      <c r="R517" s="11">
        <v>76337.11</v>
      </c>
      <c r="S517" s="11">
        <v>76336.800000000003</v>
      </c>
      <c r="T517" s="11">
        <v>76337.149999999994</v>
      </c>
      <c r="U517" s="11">
        <v>76337.17</v>
      </c>
      <c r="V517" s="11">
        <v>76336.850000000006</v>
      </c>
      <c r="W517" s="11">
        <v>76337.19</v>
      </c>
      <c r="X517" s="11">
        <v>76337.19</v>
      </c>
      <c r="Y517" s="11">
        <v>76336.84</v>
      </c>
      <c r="Z517" s="11">
        <v>76337.149999999994</v>
      </c>
      <c r="AA517" s="11">
        <v>76337.119999999995</v>
      </c>
      <c r="AB517" s="11">
        <v>76337.149999999994</v>
      </c>
      <c r="AC517" s="11">
        <v>76337.39</v>
      </c>
      <c r="AD517" s="12">
        <f>SUM(R517:AC517)</f>
        <v>916045.11</v>
      </c>
      <c r="AE517" s="12">
        <v>76337.23</v>
      </c>
      <c r="AF517" s="12">
        <v>76337.744999999995</v>
      </c>
      <c r="AG517" s="12">
        <v>76336.929999999993</v>
      </c>
      <c r="AH517" s="12">
        <v>76336.78</v>
      </c>
      <c r="AI517" s="12">
        <v>76337.3</v>
      </c>
      <c r="AJ517" s="12">
        <v>76337.48</v>
      </c>
      <c r="AK517" s="12">
        <v>76337.320000000007</v>
      </c>
      <c r="AL517" s="12">
        <v>76336.83</v>
      </c>
      <c r="AM517" s="12">
        <v>76337</v>
      </c>
      <c r="AN517" s="12">
        <v>76336.83</v>
      </c>
      <c r="AO517" s="12">
        <v>76337.320000000007</v>
      </c>
      <c r="AP517" s="12">
        <v>76337.460000000006</v>
      </c>
      <c r="AQ517" s="3">
        <f>SUM(AE517:AP517)</f>
        <v>916046.22499999986</v>
      </c>
      <c r="AR517" s="3">
        <f>34775+41562.27</f>
        <v>76337.26999999999</v>
      </c>
      <c r="AS517" s="3">
        <f>34885+41452.72</f>
        <v>76337.72</v>
      </c>
      <c r="AT517" s="3">
        <f>34994+41342.84</f>
        <v>76336.84</v>
      </c>
      <c r="AU517" s="3">
        <f>35105+41232.61</f>
        <v>76337.61</v>
      </c>
      <c r="AV517" s="3">
        <f>35215+41122.02</f>
        <v>76337.01999999999</v>
      </c>
      <c r="AW517" s="3">
        <f>35326+41011.1</f>
        <v>76337.100000000006</v>
      </c>
      <c r="AX517" s="3">
        <f>35437+40899.82</f>
        <v>76336.820000000007</v>
      </c>
      <c r="AY517" s="3">
        <f>35549+40788.19</f>
        <v>76337.19</v>
      </c>
      <c r="AZ517" s="3">
        <f>35661+40676.21</f>
        <v>76337.209999999992</v>
      </c>
      <c r="BA517" s="3">
        <f>35773+40563.88</f>
        <v>76336.88</v>
      </c>
      <c r="BB517" s="3">
        <f>35886+40451.2</f>
        <v>76337.2</v>
      </c>
      <c r="BC517" s="3">
        <f>35999+40338.16</f>
        <v>76337.16</v>
      </c>
      <c r="BD517" s="3">
        <f>SUM(AR517:BC517)</f>
        <v>916046.01999999979</v>
      </c>
    </row>
    <row r="518" spans="1:56" ht="13.5" thickBot="1" x14ac:dyDescent="0.35">
      <c r="D518" s="13" t="s">
        <v>252</v>
      </c>
      <c r="E518" s="14">
        <f t="shared" ref="E518:P518" si="400">SUM(E515:E517)</f>
        <v>76587.111000000004</v>
      </c>
      <c r="F518" s="14">
        <f t="shared" si="400"/>
        <v>76337.73</v>
      </c>
      <c r="G518" s="14">
        <f t="shared" si="400"/>
        <v>76337.02</v>
      </c>
      <c r="H518" s="14">
        <f t="shared" si="400"/>
        <v>76337</v>
      </c>
      <c r="I518" s="14">
        <f t="shared" si="400"/>
        <v>76337.66</v>
      </c>
      <c r="J518" s="14">
        <f t="shared" si="400"/>
        <v>76336.990000000005</v>
      </c>
      <c r="K518" s="14">
        <f t="shared" si="400"/>
        <v>76336.990000000005</v>
      </c>
      <c r="L518" s="14">
        <f t="shared" si="400"/>
        <v>76337.67</v>
      </c>
      <c r="M518" s="14">
        <f t="shared" si="400"/>
        <v>76337.02</v>
      </c>
      <c r="N518" s="14">
        <f t="shared" si="400"/>
        <v>76337.039999999994</v>
      </c>
      <c r="O518" s="14">
        <f t="shared" si="400"/>
        <v>76337.73</v>
      </c>
      <c r="P518" s="14">
        <f t="shared" si="400"/>
        <v>76337.08</v>
      </c>
      <c r="Q518" s="14">
        <f>SUM(Q515:Q517)</f>
        <v>916297.04100000008</v>
      </c>
      <c r="R518" s="14">
        <f t="shared" ref="R518:AC518" si="401">SUM(R515:R517)</f>
        <v>76587.11</v>
      </c>
      <c r="S518" s="14">
        <f t="shared" si="401"/>
        <v>76336.800000000003</v>
      </c>
      <c r="T518" s="14">
        <f t="shared" si="401"/>
        <v>76337.149999999994</v>
      </c>
      <c r="U518" s="14">
        <f t="shared" si="401"/>
        <v>76337.17</v>
      </c>
      <c r="V518" s="14">
        <f t="shared" si="401"/>
        <v>76336.850000000006</v>
      </c>
      <c r="W518" s="14">
        <f t="shared" si="401"/>
        <v>76337.19</v>
      </c>
      <c r="X518" s="14">
        <f t="shared" si="401"/>
        <v>76337.19</v>
      </c>
      <c r="Y518" s="14">
        <f t="shared" si="401"/>
        <v>76336.84</v>
      </c>
      <c r="Z518" s="14">
        <f t="shared" si="401"/>
        <v>76337.149999999994</v>
      </c>
      <c r="AA518" s="14">
        <f t="shared" si="401"/>
        <v>76337.119999999995</v>
      </c>
      <c r="AB518" s="14">
        <f t="shared" si="401"/>
        <v>76337.149999999994</v>
      </c>
      <c r="AC518" s="14">
        <f t="shared" si="401"/>
        <v>76337.39</v>
      </c>
      <c r="AD518" s="14">
        <f>SUM(AD515:AD517)</f>
        <v>916295.11</v>
      </c>
      <c r="AE518" s="14">
        <f>SUM(AE515:AE517)</f>
        <v>76587.23</v>
      </c>
      <c r="AF518" s="14">
        <f>SUM(AF515:AF517)</f>
        <v>76337.744999999995</v>
      </c>
      <c r="AG518" s="14">
        <f t="shared" ref="AG518:AP518" si="402">SUM(AG515:AG517)</f>
        <v>76336.929999999993</v>
      </c>
      <c r="AH518" s="14">
        <f t="shared" si="402"/>
        <v>76336.78</v>
      </c>
      <c r="AI518" s="14">
        <f t="shared" si="402"/>
        <v>76337.3</v>
      </c>
      <c r="AJ518" s="14">
        <f t="shared" si="402"/>
        <v>76337.48</v>
      </c>
      <c r="AK518" s="14">
        <f t="shared" si="402"/>
        <v>76337.320000000007</v>
      </c>
      <c r="AL518" s="14">
        <f t="shared" si="402"/>
        <v>76336.83</v>
      </c>
      <c r="AM518" s="14">
        <f t="shared" si="402"/>
        <v>76337</v>
      </c>
      <c r="AN518" s="14">
        <f t="shared" si="402"/>
        <v>76336.83</v>
      </c>
      <c r="AO518" s="14">
        <f t="shared" si="402"/>
        <v>76337.320000000007</v>
      </c>
      <c r="AP518" s="14">
        <f t="shared" si="402"/>
        <v>76337.460000000006</v>
      </c>
      <c r="AQ518" s="22">
        <f>SUM(AQ515:AQ517)</f>
        <v>916296.22499999986</v>
      </c>
      <c r="AR518" s="22">
        <f t="shared" ref="AR518:BD518" si="403">SUM(AR515:AR517)</f>
        <v>76587.26999999999</v>
      </c>
      <c r="AS518" s="22">
        <f t="shared" si="403"/>
        <v>76337.72</v>
      </c>
      <c r="AT518" s="22">
        <f t="shared" si="403"/>
        <v>76336.84</v>
      </c>
      <c r="AU518" s="22">
        <f t="shared" si="403"/>
        <v>76337.61</v>
      </c>
      <c r="AV518" s="22">
        <f t="shared" si="403"/>
        <v>76337.01999999999</v>
      </c>
      <c r="AW518" s="22">
        <f t="shared" si="403"/>
        <v>76337.100000000006</v>
      </c>
      <c r="AX518" s="22">
        <f t="shared" si="403"/>
        <v>76336.820000000007</v>
      </c>
      <c r="AY518" s="22">
        <f t="shared" si="403"/>
        <v>76337.19</v>
      </c>
      <c r="AZ518" s="22">
        <f t="shared" si="403"/>
        <v>76337.209999999992</v>
      </c>
      <c r="BA518" s="22">
        <f t="shared" si="403"/>
        <v>76336.88</v>
      </c>
      <c r="BB518" s="22">
        <f t="shared" si="403"/>
        <v>76337.2</v>
      </c>
      <c r="BC518" s="22">
        <f t="shared" si="403"/>
        <v>76337.16</v>
      </c>
      <c r="BD518" s="22">
        <f t="shared" si="403"/>
        <v>916296.01999999979</v>
      </c>
    </row>
    <row r="519" spans="1:56" x14ac:dyDescent="0.3">
      <c r="D519" s="15"/>
    </row>
    <row r="520" spans="1:56" ht="15.5" x14ac:dyDescent="0.35">
      <c r="B520" s="20">
        <f>+B514+1</f>
        <v>55</v>
      </c>
      <c r="C520" s="1" t="s">
        <v>14</v>
      </c>
      <c r="D520" s="25" t="s">
        <v>253</v>
      </c>
    </row>
    <row r="521" spans="1:56" x14ac:dyDescent="0.3">
      <c r="D521" s="8" t="s">
        <v>8</v>
      </c>
      <c r="E521" s="12">
        <v>2897.92</v>
      </c>
      <c r="F521" s="12">
        <v>2897.92</v>
      </c>
      <c r="G521" s="12">
        <v>2897.92</v>
      </c>
      <c r="H521" s="12">
        <v>2897.92</v>
      </c>
      <c r="I521" s="12">
        <v>2897.92</v>
      </c>
      <c r="J521" s="12">
        <v>2897.92</v>
      </c>
      <c r="K521" s="12">
        <v>2897.92</v>
      </c>
      <c r="L521" s="12">
        <v>2897.92</v>
      </c>
      <c r="M521" s="12">
        <v>2897.92</v>
      </c>
      <c r="N521" s="12">
        <v>2897.92</v>
      </c>
      <c r="O521" s="12">
        <v>2897.92</v>
      </c>
      <c r="P521" s="12">
        <v>2897.92</v>
      </c>
      <c r="Q521" s="12">
        <f>SUM(E521:P521)</f>
        <v>34775.039999999994</v>
      </c>
      <c r="R521" s="12">
        <v>2897.92</v>
      </c>
      <c r="S521" s="12">
        <v>2897.92</v>
      </c>
      <c r="T521" s="12">
        <v>2897.92</v>
      </c>
      <c r="U521" s="12">
        <v>2897.92</v>
      </c>
      <c r="V521" s="12">
        <v>2897.92</v>
      </c>
      <c r="W521" s="12">
        <v>2897.92</v>
      </c>
      <c r="X521" s="12">
        <v>2897.92</v>
      </c>
      <c r="Y521" s="12">
        <v>2897.92</v>
      </c>
      <c r="Z521" s="12">
        <v>2897.92</v>
      </c>
      <c r="AA521" s="12">
        <v>2860.83</v>
      </c>
      <c r="AB521" s="12">
        <v>2860.83</v>
      </c>
      <c r="AC521" s="12">
        <v>2860.83</v>
      </c>
      <c r="AD521" s="12">
        <f>SUM(R521:AC521)</f>
        <v>34663.770000000004</v>
      </c>
      <c r="AE521" s="12">
        <v>2860.83</v>
      </c>
      <c r="AF521" s="12">
        <v>2860.83</v>
      </c>
      <c r="AG521" s="12">
        <v>2860.83</v>
      </c>
      <c r="AH521" s="12">
        <v>2860.83</v>
      </c>
      <c r="AI521" s="12">
        <v>2860.83</v>
      </c>
      <c r="AJ521" s="12">
        <v>2860.83</v>
      </c>
      <c r="AK521" s="12">
        <v>2860.83</v>
      </c>
      <c r="AL521" s="12">
        <v>2860.83</v>
      </c>
      <c r="AM521" s="12">
        <v>2860.83</v>
      </c>
      <c r="AN521" s="12">
        <v>2822.08</v>
      </c>
      <c r="AO521" s="12">
        <v>2822.08</v>
      </c>
      <c r="AP521" s="12">
        <v>2822.08</v>
      </c>
      <c r="AQ521" s="3">
        <f>SUM(AE521:AP521)</f>
        <v>34213.710000000006</v>
      </c>
      <c r="AR521" s="3">
        <v>2822.08</v>
      </c>
      <c r="AS521" s="3">
        <v>2822.08</v>
      </c>
      <c r="AT521" s="3">
        <v>2822.08</v>
      </c>
      <c r="AU521" s="3">
        <v>2822.08</v>
      </c>
      <c r="AV521" s="3">
        <v>2822.08</v>
      </c>
      <c r="AW521" s="3">
        <v>2822.08</v>
      </c>
      <c r="AX521" s="3">
        <v>2822.08</v>
      </c>
      <c r="AY521" s="3">
        <v>2822.08</v>
      </c>
      <c r="AZ521" s="3">
        <v>2822.08</v>
      </c>
      <c r="BA521" s="3">
        <v>2781.25</v>
      </c>
      <c r="BB521" s="3">
        <v>2781.25</v>
      </c>
      <c r="BC521" s="3">
        <v>2781.25</v>
      </c>
      <c r="BD521" s="3">
        <f>SUM(AR521:BC521)</f>
        <v>33742.47</v>
      </c>
    </row>
    <row r="522" spans="1:56" x14ac:dyDescent="0.3">
      <c r="D522" s="8" t="s">
        <v>9</v>
      </c>
      <c r="E522" s="11">
        <v>250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2">
        <f>SUM(E522:P522)</f>
        <v>250</v>
      </c>
      <c r="R522" s="11">
        <v>250</v>
      </c>
      <c r="AD522" s="12">
        <f>SUM(R522:AC522)</f>
        <v>250</v>
      </c>
      <c r="AE522" s="11">
        <v>250</v>
      </c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3">
        <f>SUM(AE522:AP522)</f>
        <v>250</v>
      </c>
      <c r="AR522" s="3">
        <v>250</v>
      </c>
      <c r="AS522" s="3">
        <v>0</v>
      </c>
      <c r="AT522" s="3">
        <v>0</v>
      </c>
      <c r="AU522" s="3">
        <v>0</v>
      </c>
      <c r="AV522" s="3">
        <v>0</v>
      </c>
      <c r="AW522" s="3">
        <v>0</v>
      </c>
      <c r="AX522" s="3">
        <v>0</v>
      </c>
      <c r="AY522" s="3">
        <v>0</v>
      </c>
      <c r="AZ522" s="3">
        <v>0</v>
      </c>
      <c r="BA522" s="3">
        <v>0</v>
      </c>
      <c r="BB522" s="3">
        <v>0</v>
      </c>
      <c r="BC522" s="3">
        <v>0</v>
      </c>
      <c r="BD522" s="3">
        <f>SUM(AR522:BC522)</f>
        <v>250</v>
      </c>
    </row>
    <row r="523" spans="1:56" ht="13.5" thickBot="1" x14ac:dyDescent="0.35">
      <c r="A523" t="s">
        <v>254</v>
      </c>
      <c r="D523" s="8" t="s">
        <v>10</v>
      </c>
      <c r="E523" s="12">
        <v>140451.56</v>
      </c>
      <c r="F523" s="12">
        <v>140451.57999999999</v>
      </c>
      <c r="G523" s="12">
        <v>140451.56</v>
      </c>
      <c r="H523" s="12">
        <v>140451.56</v>
      </c>
      <c r="I523" s="12">
        <v>140451.56</v>
      </c>
      <c r="J523" s="12">
        <v>140451.56</v>
      </c>
      <c r="K523" s="12">
        <v>140451.56</v>
      </c>
      <c r="L523" s="12">
        <v>140451.57999999999</v>
      </c>
      <c r="M523" s="11">
        <f>37083.33+140451.56</f>
        <v>177534.89</v>
      </c>
      <c r="N523" s="11">
        <f>37083.33+140451.56</f>
        <v>177534.89</v>
      </c>
      <c r="O523" s="11">
        <f>37083.33+140451.56</f>
        <v>177534.89</v>
      </c>
      <c r="P523" s="11">
        <f>37083.33+140451.56</f>
        <v>177534.89</v>
      </c>
      <c r="Q523" s="12">
        <f>SUM(E523:P523)</f>
        <v>1833752.0800000005</v>
      </c>
      <c r="R523" s="11">
        <f t="shared" ref="R523:X523" si="404">37083.33+140451.56</f>
        <v>177534.89</v>
      </c>
      <c r="S523" s="11">
        <f>37083.33+140451.58</f>
        <v>177534.90999999997</v>
      </c>
      <c r="T523" s="11">
        <f t="shared" si="404"/>
        <v>177534.89</v>
      </c>
      <c r="U523" s="11">
        <f t="shared" si="404"/>
        <v>177534.89</v>
      </c>
      <c r="V523" s="11">
        <f t="shared" si="404"/>
        <v>177534.89</v>
      </c>
      <c r="W523" s="11">
        <f t="shared" si="404"/>
        <v>177534.89</v>
      </c>
      <c r="X523" s="11">
        <f t="shared" si="404"/>
        <v>177534.89</v>
      </c>
      <c r="Y523" s="11">
        <f>37083.37+140451.58</f>
        <v>177534.94999999998</v>
      </c>
      <c r="Z523" s="11">
        <f>38750+138736.46</f>
        <v>177486.46</v>
      </c>
      <c r="AA523" s="11">
        <f>38750+138736.46</f>
        <v>177486.46</v>
      </c>
      <c r="AB523" s="11">
        <f>38750+138736.46</f>
        <v>177486.46</v>
      </c>
      <c r="AC523" s="11">
        <f>38750+138736.46</f>
        <v>177486.46</v>
      </c>
      <c r="AD523" s="12">
        <f>SUM(R523:AC523)</f>
        <v>2130225.04</v>
      </c>
      <c r="AE523" s="11">
        <f t="shared" ref="AE523:AK523" si="405">38750+138736.46</f>
        <v>177486.46</v>
      </c>
      <c r="AF523" s="11">
        <f>38750+138736.45</f>
        <v>177486.45</v>
      </c>
      <c r="AG523" s="11">
        <f t="shared" si="405"/>
        <v>177486.46</v>
      </c>
      <c r="AH523" s="11">
        <f t="shared" si="405"/>
        <v>177486.46</v>
      </c>
      <c r="AI523" s="11">
        <f t="shared" si="405"/>
        <v>177486.46</v>
      </c>
      <c r="AJ523" s="11">
        <f t="shared" si="405"/>
        <v>177486.46</v>
      </c>
      <c r="AK523" s="11">
        <f t="shared" si="405"/>
        <v>177486.46</v>
      </c>
      <c r="AL523" s="11">
        <f>38750+138736.45</f>
        <v>177486.45</v>
      </c>
      <c r="AM523" s="12">
        <f>40833.33+136944.27</f>
        <v>177777.59999999998</v>
      </c>
      <c r="AN523" s="12">
        <f>40833.33+136944.27</f>
        <v>177777.59999999998</v>
      </c>
      <c r="AO523" s="12">
        <f>40833.33+136944.27</f>
        <v>177777.59999999998</v>
      </c>
      <c r="AP523" s="12">
        <f>40833.33+136944.27</f>
        <v>177777.59999999998</v>
      </c>
      <c r="AQ523" s="3">
        <f>SUM(AE523:AP523)</f>
        <v>2131002.06</v>
      </c>
      <c r="AR523" s="3">
        <f>40833.33+136944.27</f>
        <v>177777.59999999998</v>
      </c>
      <c r="AS523" s="3">
        <f>40833.33+136944.28</f>
        <v>177777.61</v>
      </c>
      <c r="AT523" s="3">
        <f>40833.33+136944.27</f>
        <v>177777.59999999998</v>
      </c>
      <c r="AU523" s="3">
        <f>40833.33+136944.27</f>
        <v>177777.59999999998</v>
      </c>
      <c r="AV523" s="3">
        <f>40833.33+136944.27</f>
        <v>177777.59999999998</v>
      </c>
      <c r="AW523" s="3">
        <f>40833.33+136944.27</f>
        <v>177777.59999999998</v>
      </c>
      <c r="AX523" s="3">
        <f>40833.33+136944.27</f>
        <v>177777.59999999998</v>
      </c>
      <c r="AY523" s="3">
        <f>40833.37+136944.28</f>
        <v>177777.65</v>
      </c>
      <c r="AZ523" s="3">
        <f>42500+134904.17</f>
        <v>177404.17</v>
      </c>
      <c r="BA523" s="3">
        <f>42500+134904.17</f>
        <v>177404.17</v>
      </c>
      <c r="BB523" s="3">
        <f>42500+134904.17</f>
        <v>177404.17</v>
      </c>
      <c r="BC523" s="3">
        <f>42500+134904.17</f>
        <v>177404.17</v>
      </c>
      <c r="BD523" s="3">
        <f>SUM(AR523:BC523)</f>
        <v>2131837.5399999996</v>
      </c>
    </row>
    <row r="524" spans="1:56" ht="13.5" thickBot="1" x14ac:dyDescent="0.35">
      <c r="D524" s="13" t="s">
        <v>255</v>
      </c>
      <c r="E524" s="14">
        <f t="shared" ref="E524:P524" si="406">SUM(E521:E523)</f>
        <v>143599.48000000001</v>
      </c>
      <c r="F524" s="14">
        <f t="shared" si="406"/>
        <v>143349.5</v>
      </c>
      <c r="G524" s="14">
        <f t="shared" si="406"/>
        <v>143349.48000000001</v>
      </c>
      <c r="H524" s="14">
        <f t="shared" si="406"/>
        <v>143349.48000000001</v>
      </c>
      <c r="I524" s="14">
        <f t="shared" si="406"/>
        <v>143349.48000000001</v>
      </c>
      <c r="J524" s="14">
        <f t="shared" si="406"/>
        <v>143349.48000000001</v>
      </c>
      <c r="K524" s="14">
        <f t="shared" si="406"/>
        <v>143349.48000000001</v>
      </c>
      <c r="L524" s="14">
        <f t="shared" si="406"/>
        <v>143349.5</v>
      </c>
      <c r="M524" s="14">
        <f t="shared" si="406"/>
        <v>180432.81000000003</v>
      </c>
      <c r="N524" s="14">
        <f t="shared" si="406"/>
        <v>180432.81000000003</v>
      </c>
      <c r="O524" s="14">
        <f t="shared" si="406"/>
        <v>180432.81000000003</v>
      </c>
      <c r="P524" s="14">
        <f t="shared" si="406"/>
        <v>180432.81000000003</v>
      </c>
      <c r="Q524" s="14">
        <f>SUM(Q521:Q523)</f>
        <v>1868777.1200000006</v>
      </c>
      <c r="R524" s="14">
        <f t="shared" ref="R524:AC524" si="407">SUM(R521:R523)</f>
        <v>180682.81000000003</v>
      </c>
      <c r="S524" s="14">
        <f t="shared" si="407"/>
        <v>180432.83</v>
      </c>
      <c r="T524" s="14">
        <f t="shared" si="407"/>
        <v>180432.81000000003</v>
      </c>
      <c r="U524" s="14">
        <f t="shared" si="407"/>
        <v>180432.81000000003</v>
      </c>
      <c r="V524" s="14">
        <f t="shared" si="407"/>
        <v>180432.81000000003</v>
      </c>
      <c r="W524" s="14">
        <f t="shared" si="407"/>
        <v>180432.81000000003</v>
      </c>
      <c r="X524" s="14">
        <f t="shared" si="407"/>
        <v>180432.81000000003</v>
      </c>
      <c r="Y524" s="14">
        <f t="shared" si="407"/>
        <v>180432.87</v>
      </c>
      <c r="Z524" s="14">
        <f t="shared" si="407"/>
        <v>180384.38</v>
      </c>
      <c r="AA524" s="14">
        <f t="shared" si="407"/>
        <v>180347.28999999998</v>
      </c>
      <c r="AB524" s="14">
        <f t="shared" si="407"/>
        <v>180347.28999999998</v>
      </c>
      <c r="AC524" s="14">
        <f t="shared" si="407"/>
        <v>180347.28999999998</v>
      </c>
      <c r="AD524" s="14">
        <f>SUM(AD521:AD523)</f>
        <v>2165138.81</v>
      </c>
      <c r="AE524" s="14">
        <f>SUM(AE521:AE523)</f>
        <v>180597.28999999998</v>
      </c>
      <c r="AF524" s="14">
        <f>SUM(AF521:AF523)</f>
        <v>180347.28</v>
      </c>
      <c r="AG524" s="14">
        <f t="shared" ref="AG524:AP524" si="408">SUM(AG521:AG523)</f>
        <v>180347.28999999998</v>
      </c>
      <c r="AH524" s="14">
        <f t="shared" si="408"/>
        <v>180347.28999999998</v>
      </c>
      <c r="AI524" s="14">
        <f t="shared" si="408"/>
        <v>180347.28999999998</v>
      </c>
      <c r="AJ524" s="14">
        <f t="shared" si="408"/>
        <v>180347.28999999998</v>
      </c>
      <c r="AK524" s="14">
        <f t="shared" si="408"/>
        <v>180347.28999999998</v>
      </c>
      <c r="AL524" s="14">
        <f t="shared" si="408"/>
        <v>180347.28</v>
      </c>
      <c r="AM524" s="14">
        <f t="shared" si="408"/>
        <v>180638.42999999996</v>
      </c>
      <c r="AN524" s="14">
        <f t="shared" si="408"/>
        <v>180599.67999999996</v>
      </c>
      <c r="AO524" s="14">
        <f t="shared" si="408"/>
        <v>180599.67999999996</v>
      </c>
      <c r="AP524" s="14">
        <f t="shared" si="408"/>
        <v>180599.67999999996</v>
      </c>
      <c r="AQ524" s="22">
        <f>SUM(AQ521:AQ523)</f>
        <v>2165465.77</v>
      </c>
      <c r="AR524" s="22">
        <f t="shared" ref="AR524:BD524" si="409">SUM(AR521:AR523)</f>
        <v>180849.67999999996</v>
      </c>
      <c r="AS524" s="22">
        <f t="shared" si="409"/>
        <v>180599.68999999997</v>
      </c>
      <c r="AT524" s="22">
        <f t="shared" si="409"/>
        <v>180599.67999999996</v>
      </c>
      <c r="AU524" s="22">
        <f t="shared" si="409"/>
        <v>180599.67999999996</v>
      </c>
      <c r="AV524" s="22">
        <f t="shared" si="409"/>
        <v>180599.67999999996</v>
      </c>
      <c r="AW524" s="22">
        <f t="shared" si="409"/>
        <v>180599.67999999996</v>
      </c>
      <c r="AX524" s="22">
        <f t="shared" si="409"/>
        <v>180599.67999999996</v>
      </c>
      <c r="AY524" s="22">
        <f t="shared" si="409"/>
        <v>180599.72999999998</v>
      </c>
      <c r="AZ524" s="22">
        <f t="shared" si="409"/>
        <v>180226.25</v>
      </c>
      <c r="BA524" s="22">
        <f t="shared" si="409"/>
        <v>180185.42</v>
      </c>
      <c r="BB524" s="22">
        <f t="shared" si="409"/>
        <v>180185.42</v>
      </c>
      <c r="BC524" s="22">
        <f t="shared" si="409"/>
        <v>180185.42</v>
      </c>
      <c r="BD524" s="22">
        <f t="shared" si="409"/>
        <v>2165830.0099999998</v>
      </c>
    </row>
    <row r="525" spans="1:56" x14ac:dyDescent="0.3">
      <c r="D525" s="15"/>
    </row>
    <row r="526" spans="1:56" ht="15.5" x14ac:dyDescent="0.35">
      <c r="B526" s="20">
        <f>+B520+1</f>
        <v>56</v>
      </c>
      <c r="C526" s="1" t="s">
        <v>14</v>
      </c>
      <c r="D526" s="25" t="s">
        <v>256</v>
      </c>
    </row>
    <row r="527" spans="1:56" x14ac:dyDescent="0.3">
      <c r="D527" s="8" t="s">
        <v>8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f>SUM(E527:P527)</f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f>SUM(R527:AC527)</f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0</v>
      </c>
      <c r="AK527" s="12">
        <v>0</v>
      </c>
      <c r="AL527" s="12">
        <v>0</v>
      </c>
      <c r="AM527" s="12">
        <v>0</v>
      </c>
      <c r="AN527" s="12">
        <v>0</v>
      </c>
      <c r="AO527" s="12">
        <v>0</v>
      </c>
      <c r="AP527" s="12">
        <v>0</v>
      </c>
      <c r="AQ527" s="3">
        <f>SUM(AE527:AP527)</f>
        <v>0</v>
      </c>
      <c r="AR527" s="3">
        <v>0</v>
      </c>
      <c r="AS527" s="3">
        <v>0</v>
      </c>
      <c r="AT527" s="3">
        <v>0</v>
      </c>
      <c r="AU527" s="3">
        <v>0</v>
      </c>
      <c r="AV527" s="3">
        <v>0</v>
      </c>
      <c r="AW527" s="3">
        <v>0</v>
      </c>
      <c r="AX527" s="3">
        <v>0</v>
      </c>
      <c r="AY527" s="3">
        <v>0</v>
      </c>
      <c r="AZ527" s="3">
        <v>0</v>
      </c>
      <c r="BA527" s="3">
        <v>0</v>
      </c>
      <c r="BB527" s="3">
        <v>0</v>
      </c>
      <c r="BC527" s="3">
        <v>0</v>
      </c>
      <c r="BD527" s="3">
        <f>SUM(AR527:BC527)</f>
        <v>0</v>
      </c>
    </row>
    <row r="528" spans="1:56" x14ac:dyDescent="0.3">
      <c r="D528" s="8" t="s">
        <v>9</v>
      </c>
      <c r="E528" s="11">
        <v>250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2">
        <f>SUM(E528:P528)</f>
        <v>250</v>
      </c>
      <c r="R528" s="11">
        <v>250</v>
      </c>
      <c r="AD528" s="12">
        <f>SUM(R528:AC528)</f>
        <v>250</v>
      </c>
      <c r="AE528" s="11">
        <v>250</v>
      </c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3">
        <f>SUM(AE528:AP528)</f>
        <v>250</v>
      </c>
      <c r="AR528" s="3">
        <v>250</v>
      </c>
      <c r="AS528" s="3">
        <v>0</v>
      </c>
      <c r="AT528" s="3">
        <v>0</v>
      </c>
      <c r="AU528" s="3">
        <v>0</v>
      </c>
      <c r="AV528" s="3">
        <v>0</v>
      </c>
      <c r="AW528" s="3">
        <v>0</v>
      </c>
      <c r="AX528" s="3">
        <v>0</v>
      </c>
      <c r="AY528" s="3">
        <v>0</v>
      </c>
      <c r="AZ528" s="3">
        <v>0</v>
      </c>
      <c r="BA528" s="3">
        <v>0</v>
      </c>
      <c r="BB528" s="3">
        <v>0</v>
      </c>
      <c r="BC528" s="3">
        <v>0</v>
      </c>
      <c r="BD528" s="3">
        <f>SUM(AR528:BC528)</f>
        <v>250</v>
      </c>
    </row>
    <row r="529" spans="1:56" ht="13.5" thickBot="1" x14ac:dyDescent="0.35">
      <c r="A529" t="s">
        <v>257</v>
      </c>
      <c r="D529" s="8" t="s">
        <v>10</v>
      </c>
      <c r="E529" s="12">
        <v>18702.38</v>
      </c>
      <c r="F529" s="12">
        <v>18702.38</v>
      </c>
      <c r="G529" s="12">
        <v>18702.38</v>
      </c>
      <c r="H529" s="12">
        <v>18702.38</v>
      </c>
      <c r="I529" s="12">
        <v>18702.38</v>
      </c>
      <c r="J529" s="12">
        <v>18702.38</v>
      </c>
      <c r="K529" s="12">
        <v>18702.38</v>
      </c>
      <c r="L529" s="12">
        <v>18702.38</v>
      </c>
      <c r="M529" s="12">
        <v>18702.38</v>
      </c>
      <c r="N529" s="12">
        <v>18702.38</v>
      </c>
      <c r="O529" s="12">
        <v>18702.38</v>
      </c>
      <c r="P529" s="12">
        <v>18702.38</v>
      </c>
      <c r="Q529" s="12">
        <f>SUM(E529:P529)</f>
        <v>224428.56000000003</v>
      </c>
      <c r="R529" s="12">
        <v>18702.38</v>
      </c>
      <c r="S529" s="12">
        <v>18702.38</v>
      </c>
      <c r="T529" s="12">
        <v>18702.38</v>
      </c>
      <c r="U529" s="12">
        <v>18702.38</v>
      </c>
      <c r="V529" s="12">
        <v>18702.38</v>
      </c>
      <c r="W529" s="12">
        <v>18702.38</v>
      </c>
      <c r="X529" s="12">
        <v>18702.38</v>
      </c>
      <c r="Y529" s="12">
        <v>18702.38</v>
      </c>
      <c r="Z529" s="12">
        <v>18702.38</v>
      </c>
      <c r="AA529" s="12">
        <v>18702.38</v>
      </c>
      <c r="AB529" s="12">
        <v>18702.38</v>
      </c>
      <c r="AC529" s="12">
        <v>18702.38</v>
      </c>
      <c r="AD529" s="12">
        <f>SUM(R529:AC529)</f>
        <v>224428.56000000003</v>
      </c>
      <c r="AE529" s="12">
        <v>18702.38</v>
      </c>
      <c r="AF529" s="12">
        <v>18702.38</v>
      </c>
      <c r="AG529" s="12">
        <v>18702.38</v>
      </c>
      <c r="AH529" s="12">
        <v>18702.38</v>
      </c>
      <c r="AI529" s="12">
        <v>18702.38</v>
      </c>
      <c r="AJ529" s="12">
        <v>18702.38</v>
      </c>
      <c r="AK529" s="12">
        <v>18702.38</v>
      </c>
      <c r="AL529" s="12">
        <v>18702.38</v>
      </c>
      <c r="AM529" s="12">
        <v>18702.38</v>
      </c>
      <c r="AN529" s="12">
        <v>18702.38</v>
      </c>
      <c r="AO529" s="12">
        <v>18702.38</v>
      </c>
      <c r="AP529" s="12">
        <v>18702.38</v>
      </c>
      <c r="AQ529" s="3">
        <f>SUM(AE529:AP529)</f>
        <v>224428.56000000003</v>
      </c>
      <c r="AR529" s="3">
        <v>18702.38</v>
      </c>
      <c r="AS529" s="3">
        <v>18702.38</v>
      </c>
      <c r="AT529" s="3">
        <v>18702.38</v>
      </c>
      <c r="AU529" s="3">
        <v>18702.38</v>
      </c>
      <c r="AV529" s="3">
        <v>18702.38</v>
      </c>
      <c r="AW529" s="3">
        <v>18702.38</v>
      </c>
      <c r="AX529" s="3">
        <v>18702.38</v>
      </c>
      <c r="AY529" s="3">
        <v>18702.38</v>
      </c>
      <c r="AZ529" s="3">
        <v>18702.38</v>
      </c>
      <c r="BA529" s="3">
        <v>18702.38</v>
      </c>
      <c r="BB529" s="3">
        <v>18702.38</v>
      </c>
      <c r="BC529" s="3">
        <v>18702.38</v>
      </c>
      <c r="BD529" s="3">
        <f>SUM(AR529:BC529)</f>
        <v>224428.56000000003</v>
      </c>
    </row>
    <row r="530" spans="1:56" ht="13.5" thickBot="1" x14ac:dyDescent="0.35">
      <c r="D530" s="13" t="s">
        <v>258</v>
      </c>
      <c r="E530" s="14">
        <f t="shared" ref="E530:P530" si="410">SUM(E527:E529)</f>
        <v>18952.38</v>
      </c>
      <c r="F530" s="14">
        <f t="shared" si="410"/>
        <v>18702.38</v>
      </c>
      <c r="G530" s="14">
        <f t="shared" si="410"/>
        <v>18702.38</v>
      </c>
      <c r="H530" s="14">
        <f t="shared" si="410"/>
        <v>18702.38</v>
      </c>
      <c r="I530" s="14">
        <f t="shared" si="410"/>
        <v>18702.38</v>
      </c>
      <c r="J530" s="14">
        <f t="shared" si="410"/>
        <v>18702.38</v>
      </c>
      <c r="K530" s="14">
        <f t="shared" si="410"/>
        <v>18702.38</v>
      </c>
      <c r="L530" s="14">
        <f t="shared" si="410"/>
        <v>18702.38</v>
      </c>
      <c r="M530" s="14">
        <f t="shared" si="410"/>
        <v>18702.38</v>
      </c>
      <c r="N530" s="14">
        <f t="shared" si="410"/>
        <v>18702.38</v>
      </c>
      <c r="O530" s="14">
        <f t="shared" si="410"/>
        <v>18702.38</v>
      </c>
      <c r="P530" s="14">
        <f t="shared" si="410"/>
        <v>18702.38</v>
      </c>
      <c r="Q530" s="14">
        <f>SUM(Q527:Q529)</f>
        <v>224678.56000000003</v>
      </c>
      <c r="R530" s="14">
        <f t="shared" ref="R530:AC530" si="411">SUM(R527:R529)</f>
        <v>18952.38</v>
      </c>
      <c r="S530" s="14">
        <f t="shared" si="411"/>
        <v>18702.38</v>
      </c>
      <c r="T530" s="14">
        <f t="shared" si="411"/>
        <v>18702.38</v>
      </c>
      <c r="U530" s="14">
        <f t="shared" si="411"/>
        <v>18702.38</v>
      </c>
      <c r="V530" s="14">
        <f t="shared" si="411"/>
        <v>18702.38</v>
      </c>
      <c r="W530" s="14">
        <f t="shared" si="411"/>
        <v>18702.38</v>
      </c>
      <c r="X530" s="14">
        <f t="shared" si="411"/>
        <v>18702.38</v>
      </c>
      <c r="Y530" s="14">
        <f t="shared" si="411"/>
        <v>18702.38</v>
      </c>
      <c r="Z530" s="14">
        <f t="shared" si="411"/>
        <v>18702.38</v>
      </c>
      <c r="AA530" s="14">
        <f t="shared" si="411"/>
        <v>18702.38</v>
      </c>
      <c r="AB530" s="14">
        <f t="shared" si="411"/>
        <v>18702.38</v>
      </c>
      <c r="AC530" s="14">
        <f t="shared" si="411"/>
        <v>18702.38</v>
      </c>
      <c r="AD530" s="14">
        <f>SUM(AD527:AD529)</f>
        <v>224678.56000000003</v>
      </c>
      <c r="AE530" s="14">
        <f>SUM(AE527:AE529)</f>
        <v>18952.38</v>
      </c>
      <c r="AF530" s="14">
        <f>SUM(AF527:AF529)</f>
        <v>18702.38</v>
      </c>
      <c r="AG530" s="14">
        <f t="shared" ref="AG530:AP530" si="412">SUM(AG527:AG529)</f>
        <v>18702.38</v>
      </c>
      <c r="AH530" s="14">
        <f t="shared" si="412"/>
        <v>18702.38</v>
      </c>
      <c r="AI530" s="14">
        <f t="shared" si="412"/>
        <v>18702.38</v>
      </c>
      <c r="AJ530" s="14">
        <f t="shared" si="412"/>
        <v>18702.38</v>
      </c>
      <c r="AK530" s="14">
        <f t="shared" si="412"/>
        <v>18702.38</v>
      </c>
      <c r="AL530" s="14">
        <f t="shared" si="412"/>
        <v>18702.38</v>
      </c>
      <c r="AM530" s="14">
        <f t="shared" si="412"/>
        <v>18702.38</v>
      </c>
      <c r="AN530" s="14">
        <f t="shared" si="412"/>
        <v>18702.38</v>
      </c>
      <c r="AO530" s="14">
        <f t="shared" si="412"/>
        <v>18702.38</v>
      </c>
      <c r="AP530" s="14">
        <f t="shared" si="412"/>
        <v>18702.38</v>
      </c>
      <c r="AQ530" s="22">
        <f>SUM(AQ527:AQ529)</f>
        <v>224678.56000000003</v>
      </c>
      <c r="AR530" s="22">
        <f t="shared" ref="AR530:BD530" si="413">SUM(AR527:AR529)</f>
        <v>18952.38</v>
      </c>
      <c r="AS530" s="22">
        <f t="shared" si="413"/>
        <v>18702.38</v>
      </c>
      <c r="AT530" s="22">
        <f t="shared" si="413"/>
        <v>18702.38</v>
      </c>
      <c r="AU530" s="22">
        <f t="shared" si="413"/>
        <v>18702.38</v>
      </c>
      <c r="AV530" s="22">
        <f t="shared" si="413"/>
        <v>18702.38</v>
      </c>
      <c r="AW530" s="22">
        <f t="shared" si="413"/>
        <v>18702.38</v>
      </c>
      <c r="AX530" s="22">
        <f t="shared" si="413"/>
        <v>18702.38</v>
      </c>
      <c r="AY530" s="22">
        <f t="shared" si="413"/>
        <v>18702.38</v>
      </c>
      <c r="AZ530" s="22">
        <f t="shared" si="413"/>
        <v>18702.38</v>
      </c>
      <c r="BA530" s="22">
        <f t="shared" si="413"/>
        <v>18702.38</v>
      </c>
      <c r="BB530" s="22">
        <f t="shared" si="413"/>
        <v>18702.38</v>
      </c>
      <c r="BC530" s="22">
        <f t="shared" si="413"/>
        <v>18702.38</v>
      </c>
      <c r="BD530" s="22">
        <f t="shared" si="413"/>
        <v>224678.56000000003</v>
      </c>
    </row>
    <row r="531" spans="1:56" x14ac:dyDescent="0.3">
      <c r="D531" s="15"/>
    </row>
    <row r="532" spans="1:56" ht="15.5" x14ac:dyDescent="0.35">
      <c r="B532" s="20"/>
      <c r="C532" s="32" t="s">
        <v>6</v>
      </c>
      <c r="D532" s="10" t="s">
        <v>259</v>
      </c>
    </row>
    <row r="533" spans="1:56" x14ac:dyDescent="0.3">
      <c r="D533" s="8" t="s">
        <v>8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/>
      <c r="M533" s="12"/>
      <c r="N533" s="12"/>
      <c r="O533" s="12"/>
      <c r="P533" s="12"/>
      <c r="Q533" s="12">
        <f>SUM(E533:P533)</f>
        <v>0</v>
      </c>
    </row>
    <row r="534" spans="1:56" x14ac:dyDescent="0.3">
      <c r="D534" s="8" t="s">
        <v>9</v>
      </c>
      <c r="E534" s="11">
        <v>250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2">
        <f>SUM(E534:P534)</f>
        <v>250</v>
      </c>
    </row>
    <row r="535" spans="1:56" ht="13.5" thickBot="1" x14ac:dyDescent="0.35">
      <c r="A535" t="s">
        <v>260</v>
      </c>
      <c r="D535" s="8" t="s">
        <v>10</v>
      </c>
      <c r="E535" s="11">
        <f t="shared" ref="E535:J535" si="414">20172.92+32611.23</f>
        <v>52784.149999999994</v>
      </c>
      <c r="F535" s="11">
        <f t="shared" si="414"/>
        <v>52784.149999999994</v>
      </c>
      <c r="G535" s="11">
        <f t="shared" si="414"/>
        <v>52784.149999999994</v>
      </c>
      <c r="H535" s="11">
        <f t="shared" si="414"/>
        <v>52784.149999999994</v>
      </c>
      <c r="I535" s="11">
        <f t="shared" si="414"/>
        <v>52784.149999999994</v>
      </c>
      <c r="J535" s="11">
        <f t="shared" si="414"/>
        <v>52784.149999999994</v>
      </c>
      <c r="K535" s="11">
        <f>20172.92+32079.53</f>
        <v>52252.45</v>
      </c>
      <c r="L535" s="11"/>
      <c r="M535" s="11"/>
      <c r="N535" s="11"/>
      <c r="O535" s="11"/>
      <c r="P535" s="11"/>
      <c r="Q535" s="12">
        <f>SUM(E535:P535)</f>
        <v>368957.35000000003</v>
      </c>
    </row>
    <row r="536" spans="1:56" ht="13.5" thickBot="1" x14ac:dyDescent="0.35">
      <c r="D536" s="13" t="s">
        <v>261</v>
      </c>
      <c r="E536" s="14">
        <f t="shared" ref="E536:P536" si="415">SUM(E533:E535)</f>
        <v>53034.149999999994</v>
      </c>
      <c r="F536" s="14">
        <f t="shared" si="415"/>
        <v>52784.149999999994</v>
      </c>
      <c r="G536" s="14">
        <f t="shared" si="415"/>
        <v>52784.149999999994</v>
      </c>
      <c r="H536" s="14">
        <f t="shared" si="415"/>
        <v>52784.149999999994</v>
      </c>
      <c r="I536" s="14">
        <f t="shared" si="415"/>
        <v>52784.149999999994</v>
      </c>
      <c r="J536" s="14">
        <f t="shared" si="415"/>
        <v>52784.149999999994</v>
      </c>
      <c r="K536" s="14">
        <f t="shared" si="415"/>
        <v>52252.45</v>
      </c>
      <c r="L536" s="14">
        <f t="shared" si="415"/>
        <v>0</v>
      </c>
      <c r="M536" s="14">
        <f t="shared" si="415"/>
        <v>0</v>
      </c>
      <c r="N536" s="14">
        <f t="shared" si="415"/>
        <v>0</v>
      </c>
      <c r="O536" s="14">
        <f t="shared" si="415"/>
        <v>0</v>
      </c>
      <c r="P536" s="14">
        <f t="shared" si="415"/>
        <v>0</v>
      </c>
      <c r="Q536" s="14">
        <f>SUM(Q533:Q535)</f>
        <v>369207.35000000003</v>
      </c>
    </row>
    <row r="537" spans="1:56" x14ac:dyDescent="0.3">
      <c r="D537" s="15"/>
    </row>
    <row r="538" spans="1:56" ht="15.5" x14ac:dyDescent="0.35">
      <c r="B538" s="20">
        <f>+B526+1</f>
        <v>57</v>
      </c>
      <c r="C538" s="1" t="s">
        <v>14</v>
      </c>
      <c r="D538" s="25" t="s">
        <v>262</v>
      </c>
    </row>
    <row r="539" spans="1:56" x14ac:dyDescent="0.3">
      <c r="D539" s="8" t="s">
        <v>8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f>SUM(E539:P539)</f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f>SUM(R539:AC539)</f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0</v>
      </c>
      <c r="AM539" s="12">
        <v>0</v>
      </c>
      <c r="AN539" s="12">
        <v>0</v>
      </c>
      <c r="AO539" s="12">
        <v>0</v>
      </c>
      <c r="AP539" s="12">
        <v>0</v>
      </c>
      <c r="AQ539" s="3">
        <f>SUM(AE539:AP539)</f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0</v>
      </c>
      <c r="AX539" s="3">
        <v>0</v>
      </c>
      <c r="AY539" s="3">
        <v>0</v>
      </c>
      <c r="AZ539" s="3">
        <v>0</v>
      </c>
      <c r="BA539" s="3">
        <v>0</v>
      </c>
      <c r="BB539" s="3">
        <v>0</v>
      </c>
      <c r="BC539" s="3">
        <v>0</v>
      </c>
      <c r="BD539" s="3">
        <f>SUM(AR539:BC539)</f>
        <v>0</v>
      </c>
    </row>
    <row r="540" spans="1:56" x14ac:dyDescent="0.3">
      <c r="D540" s="8" t="s">
        <v>9</v>
      </c>
      <c r="E540" s="11">
        <v>250</v>
      </c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2">
        <f>SUM(E540:P540)</f>
        <v>250</v>
      </c>
      <c r="R540" s="11">
        <v>250</v>
      </c>
      <c r="AD540" s="12">
        <f>SUM(R540:AC540)</f>
        <v>250</v>
      </c>
      <c r="AE540" s="11">
        <v>250</v>
      </c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3">
        <f>SUM(AE540:AP540)</f>
        <v>250</v>
      </c>
      <c r="AR540" s="3">
        <v>250</v>
      </c>
      <c r="AS540" s="3">
        <v>0</v>
      </c>
      <c r="AT540" s="3">
        <v>0</v>
      </c>
      <c r="AU540" s="3">
        <v>0</v>
      </c>
      <c r="AV540" s="3">
        <v>0</v>
      </c>
      <c r="AW540" s="3">
        <v>0</v>
      </c>
      <c r="AX540" s="3">
        <v>0</v>
      </c>
      <c r="AY540" s="3">
        <v>0</v>
      </c>
      <c r="AZ540" s="3">
        <v>0</v>
      </c>
      <c r="BA540" s="3">
        <v>0</v>
      </c>
      <c r="BB540" s="3">
        <v>0</v>
      </c>
      <c r="BC540" s="3">
        <v>0</v>
      </c>
      <c r="BD540" s="3">
        <f>SUM(AR540:BC540)</f>
        <v>250</v>
      </c>
    </row>
    <row r="541" spans="1:56" ht="13.5" thickBot="1" x14ac:dyDescent="0.35">
      <c r="A541" t="s">
        <v>263</v>
      </c>
      <c r="D541" s="8" t="s">
        <v>10</v>
      </c>
      <c r="E541" s="12">
        <f t="shared" ref="E541:N541" si="416">36666.67+94818.75</f>
        <v>131485.41999999998</v>
      </c>
      <c r="F541" s="12">
        <f t="shared" si="416"/>
        <v>131485.41999999998</v>
      </c>
      <c r="G541" s="12">
        <f t="shared" si="416"/>
        <v>131485.41999999998</v>
      </c>
      <c r="H541" s="12">
        <f t="shared" si="416"/>
        <v>131485.41999999998</v>
      </c>
      <c r="I541" s="12">
        <f t="shared" si="416"/>
        <v>131485.41999999998</v>
      </c>
      <c r="J541" s="12">
        <f t="shared" si="416"/>
        <v>131485.41999999998</v>
      </c>
      <c r="K541" s="12">
        <f t="shared" si="416"/>
        <v>131485.41999999998</v>
      </c>
      <c r="L541" s="12">
        <f t="shared" si="416"/>
        <v>131485.41999999998</v>
      </c>
      <c r="M541" s="12">
        <f t="shared" si="416"/>
        <v>131485.41999999998</v>
      </c>
      <c r="N541" s="12">
        <f t="shared" si="416"/>
        <v>131485.41999999998</v>
      </c>
      <c r="O541" s="12">
        <f>36666.63+94818.75</f>
        <v>131485.38</v>
      </c>
      <c r="P541" s="11">
        <f>38333.33+93168.75</f>
        <v>131502.08000000002</v>
      </c>
      <c r="Q541" s="12">
        <f>SUM(E541:P541)</f>
        <v>1577841.6599999997</v>
      </c>
      <c r="R541" s="11">
        <f t="shared" ref="R541:AA541" si="417">38333.33+93168.75</f>
        <v>131502.08000000002</v>
      </c>
      <c r="S541" s="11">
        <f t="shared" si="417"/>
        <v>131502.08000000002</v>
      </c>
      <c r="T541" s="11">
        <f t="shared" si="417"/>
        <v>131502.08000000002</v>
      </c>
      <c r="U541" s="11">
        <f t="shared" si="417"/>
        <v>131502.08000000002</v>
      </c>
      <c r="V541" s="11">
        <f t="shared" si="417"/>
        <v>131502.08000000002</v>
      </c>
      <c r="W541" s="11">
        <f t="shared" si="417"/>
        <v>131502.08000000002</v>
      </c>
      <c r="X541" s="11">
        <f t="shared" si="417"/>
        <v>131502.08000000002</v>
      </c>
      <c r="Y541" s="11">
        <f t="shared" si="417"/>
        <v>131502.08000000002</v>
      </c>
      <c r="Z541" s="11">
        <f t="shared" si="417"/>
        <v>131502.08000000002</v>
      </c>
      <c r="AA541" s="11">
        <f t="shared" si="417"/>
        <v>131502.08000000002</v>
      </c>
      <c r="AB541" s="11">
        <f>38333.37+93168.75</f>
        <v>131502.12</v>
      </c>
      <c r="AC541" s="11">
        <f>40000+91443.75</f>
        <v>131443.75</v>
      </c>
      <c r="AD541" s="12">
        <f>SUM(R541:AC541)</f>
        <v>1577966.6700000004</v>
      </c>
      <c r="AE541" s="11">
        <f t="shared" ref="AE541:AO541" si="418">40000+91443.75</f>
        <v>131443.75</v>
      </c>
      <c r="AF541" s="11">
        <f t="shared" si="418"/>
        <v>131443.75</v>
      </c>
      <c r="AG541" s="11">
        <f t="shared" si="418"/>
        <v>131443.75</v>
      </c>
      <c r="AH541" s="11">
        <f t="shared" si="418"/>
        <v>131443.75</v>
      </c>
      <c r="AI541" s="11">
        <f t="shared" si="418"/>
        <v>131443.75</v>
      </c>
      <c r="AJ541" s="11">
        <f t="shared" si="418"/>
        <v>131443.75</v>
      </c>
      <c r="AK541" s="11">
        <f t="shared" si="418"/>
        <v>131443.75</v>
      </c>
      <c r="AL541" s="11">
        <f t="shared" si="418"/>
        <v>131443.75</v>
      </c>
      <c r="AM541" s="11">
        <f t="shared" si="418"/>
        <v>131443.75</v>
      </c>
      <c r="AN541" s="11">
        <f t="shared" si="418"/>
        <v>131443.75</v>
      </c>
      <c r="AO541" s="11">
        <f t="shared" si="418"/>
        <v>131443.75</v>
      </c>
      <c r="AP541" s="12">
        <f>42083.33+89643.75</f>
        <v>131727.08000000002</v>
      </c>
      <c r="AQ541" s="3">
        <f>SUM(AE541:AP541)</f>
        <v>1577608.33</v>
      </c>
      <c r="AR541" s="3">
        <f>42083.33+89643.75</f>
        <v>131727.08000000002</v>
      </c>
      <c r="AS541" s="3">
        <f>42083.33+89643.75</f>
        <v>131727.08000000002</v>
      </c>
      <c r="AT541" s="3">
        <f t="shared" ref="AT541:BA541" si="419">42083.33+89643.75</f>
        <v>131727.08000000002</v>
      </c>
      <c r="AU541" s="3">
        <f t="shared" si="419"/>
        <v>131727.08000000002</v>
      </c>
      <c r="AV541" s="3">
        <f t="shared" si="419"/>
        <v>131727.08000000002</v>
      </c>
      <c r="AW541" s="3">
        <f t="shared" si="419"/>
        <v>131727.08000000002</v>
      </c>
      <c r="AX541" s="3">
        <f t="shared" si="419"/>
        <v>131727.08000000002</v>
      </c>
      <c r="AY541" s="3">
        <f t="shared" si="419"/>
        <v>131727.08000000002</v>
      </c>
      <c r="AZ541" s="3">
        <f t="shared" si="419"/>
        <v>131727.08000000002</v>
      </c>
      <c r="BA541" s="3">
        <f t="shared" si="419"/>
        <v>131727.08000000002</v>
      </c>
      <c r="BB541" s="3">
        <f>42083.37+89643.75</f>
        <v>131727.12</v>
      </c>
      <c r="BC541" s="3">
        <f>43750+87750</f>
        <v>131500</v>
      </c>
      <c r="BD541" s="3">
        <f>SUM(AR541:BC541)</f>
        <v>1580497.9200000004</v>
      </c>
    </row>
    <row r="542" spans="1:56" ht="13.5" thickBot="1" x14ac:dyDescent="0.35">
      <c r="D542" s="13" t="s">
        <v>264</v>
      </c>
      <c r="E542" s="14">
        <f t="shared" ref="E542:P542" si="420">SUM(E539:E541)</f>
        <v>131735.41999999998</v>
      </c>
      <c r="F542" s="14">
        <f t="shared" si="420"/>
        <v>131485.41999999998</v>
      </c>
      <c r="G542" s="14">
        <f t="shared" si="420"/>
        <v>131485.41999999998</v>
      </c>
      <c r="H542" s="14">
        <f t="shared" si="420"/>
        <v>131485.41999999998</v>
      </c>
      <c r="I542" s="14">
        <f t="shared" si="420"/>
        <v>131485.41999999998</v>
      </c>
      <c r="J542" s="14">
        <f t="shared" si="420"/>
        <v>131485.41999999998</v>
      </c>
      <c r="K542" s="14">
        <f t="shared" si="420"/>
        <v>131485.41999999998</v>
      </c>
      <c r="L542" s="14">
        <f t="shared" si="420"/>
        <v>131485.41999999998</v>
      </c>
      <c r="M542" s="14">
        <f t="shared" si="420"/>
        <v>131485.41999999998</v>
      </c>
      <c r="N542" s="14">
        <f t="shared" si="420"/>
        <v>131485.41999999998</v>
      </c>
      <c r="O542" s="14">
        <f t="shared" si="420"/>
        <v>131485.38</v>
      </c>
      <c r="P542" s="14">
        <f t="shared" si="420"/>
        <v>131502.08000000002</v>
      </c>
      <c r="Q542" s="14">
        <f>SUM(Q539:Q541)</f>
        <v>1578091.6599999997</v>
      </c>
      <c r="R542" s="14">
        <f t="shared" ref="R542:AC542" si="421">SUM(R539:R541)</f>
        <v>131752.08000000002</v>
      </c>
      <c r="S542" s="14">
        <f t="shared" si="421"/>
        <v>131502.08000000002</v>
      </c>
      <c r="T542" s="14">
        <f t="shared" si="421"/>
        <v>131502.08000000002</v>
      </c>
      <c r="U542" s="14">
        <f t="shared" si="421"/>
        <v>131502.08000000002</v>
      </c>
      <c r="V542" s="14">
        <f t="shared" si="421"/>
        <v>131502.08000000002</v>
      </c>
      <c r="W542" s="14">
        <f t="shared" si="421"/>
        <v>131502.08000000002</v>
      </c>
      <c r="X542" s="14">
        <f t="shared" si="421"/>
        <v>131502.08000000002</v>
      </c>
      <c r="Y542" s="14">
        <f t="shared" si="421"/>
        <v>131502.08000000002</v>
      </c>
      <c r="Z542" s="14">
        <f t="shared" si="421"/>
        <v>131502.08000000002</v>
      </c>
      <c r="AA542" s="14">
        <f t="shared" si="421"/>
        <v>131502.08000000002</v>
      </c>
      <c r="AB542" s="14">
        <f t="shared" si="421"/>
        <v>131502.12</v>
      </c>
      <c r="AC542" s="14">
        <f t="shared" si="421"/>
        <v>131443.75</v>
      </c>
      <c r="AD542" s="14">
        <f>SUM(AD539:AD541)</f>
        <v>1578216.6700000004</v>
      </c>
      <c r="AE542" s="14">
        <f>SUM(AE539:AE541)</f>
        <v>131693.75</v>
      </c>
      <c r="AF542" s="14">
        <f>SUM(AF539:AF541)</f>
        <v>131443.75</v>
      </c>
      <c r="AG542" s="14">
        <f t="shared" ref="AG542:AP542" si="422">SUM(AG539:AG541)</f>
        <v>131443.75</v>
      </c>
      <c r="AH542" s="14">
        <f t="shared" si="422"/>
        <v>131443.75</v>
      </c>
      <c r="AI542" s="14">
        <f t="shared" si="422"/>
        <v>131443.75</v>
      </c>
      <c r="AJ542" s="14">
        <f t="shared" si="422"/>
        <v>131443.75</v>
      </c>
      <c r="AK542" s="14">
        <f t="shared" si="422"/>
        <v>131443.75</v>
      </c>
      <c r="AL542" s="14">
        <f t="shared" si="422"/>
        <v>131443.75</v>
      </c>
      <c r="AM542" s="14">
        <f t="shared" si="422"/>
        <v>131443.75</v>
      </c>
      <c r="AN542" s="14">
        <f t="shared" si="422"/>
        <v>131443.75</v>
      </c>
      <c r="AO542" s="14">
        <f t="shared" si="422"/>
        <v>131443.75</v>
      </c>
      <c r="AP542" s="14">
        <f t="shared" si="422"/>
        <v>131727.08000000002</v>
      </c>
      <c r="AQ542" s="22">
        <f>SUM(AQ539:AQ541)</f>
        <v>1577858.33</v>
      </c>
      <c r="AR542" s="22">
        <f t="shared" ref="AR542:BD542" si="423">SUM(AR539:AR541)</f>
        <v>131977.08000000002</v>
      </c>
      <c r="AS542" s="22">
        <f t="shared" si="423"/>
        <v>131727.08000000002</v>
      </c>
      <c r="AT542" s="22">
        <f t="shared" si="423"/>
        <v>131727.08000000002</v>
      </c>
      <c r="AU542" s="22">
        <f t="shared" si="423"/>
        <v>131727.08000000002</v>
      </c>
      <c r="AV542" s="22">
        <f t="shared" si="423"/>
        <v>131727.08000000002</v>
      </c>
      <c r="AW542" s="22">
        <f t="shared" si="423"/>
        <v>131727.08000000002</v>
      </c>
      <c r="AX542" s="22">
        <f t="shared" si="423"/>
        <v>131727.08000000002</v>
      </c>
      <c r="AY542" s="22">
        <f t="shared" si="423"/>
        <v>131727.08000000002</v>
      </c>
      <c r="AZ542" s="22">
        <f t="shared" si="423"/>
        <v>131727.08000000002</v>
      </c>
      <c r="BA542" s="22">
        <f t="shared" si="423"/>
        <v>131727.08000000002</v>
      </c>
      <c r="BB542" s="22">
        <f t="shared" si="423"/>
        <v>131727.12</v>
      </c>
      <c r="BC542" s="22">
        <f t="shared" si="423"/>
        <v>131500</v>
      </c>
      <c r="BD542" s="22">
        <f t="shared" si="423"/>
        <v>1580747.9200000004</v>
      </c>
    </row>
    <row r="543" spans="1:56" x14ac:dyDescent="0.3">
      <c r="D543" s="15"/>
    </row>
    <row r="544" spans="1:56" ht="15.5" x14ac:dyDescent="0.35">
      <c r="B544" s="20">
        <f>+B538+1</f>
        <v>58</v>
      </c>
      <c r="C544" s="1" t="s">
        <v>14</v>
      </c>
      <c r="D544" s="25" t="s">
        <v>265</v>
      </c>
    </row>
    <row r="545" spans="1:56" x14ac:dyDescent="0.3">
      <c r="D545" s="8" t="s">
        <v>8</v>
      </c>
      <c r="E545" s="12">
        <v>4586.67</v>
      </c>
      <c r="F545" s="12">
        <v>4586.67</v>
      </c>
      <c r="G545" s="12">
        <v>4586.67</v>
      </c>
      <c r="H545" s="12">
        <v>4586.67</v>
      </c>
      <c r="I545" s="12">
        <v>4586.67</v>
      </c>
      <c r="J545" s="12">
        <v>4586.67</v>
      </c>
      <c r="K545" s="12">
        <v>4586.67</v>
      </c>
      <c r="L545" s="12">
        <v>4586.67</v>
      </c>
      <c r="M545" s="12">
        <v>4586.67</v>
      </c>
      <c r="N545" s="12">
        <v>4586.67</v>
      </c>
      <c r="O545" s="11">
        <v>4578.33</v>
      </c>
      <c r="P545" s="11">
        <v>4578.33</v>
      </c>
      <c r="Q545" s="12">
        <f>SUM(E545:P545)</f>
        <v>55023.359999999993</v>
      </c>
      <c r="R545" s="11">
        <v>4578.33</v>
      </c>
      <c r="S545" s="11">
        <v>4578.33</v>
      </c>
      <c r="T545" s="11">
        <v>4578.33</v>
      </c>
      <c r="U545" s="11">
        <v>4578.33</v>
      </c>
      <c r="V545" s="11">
        <v>4578.33</v>
      </c>
      <c r="W545" s="11">
        <v>4578.33</v>
      </c>
      <c r="X545" s="11">
        <v>4578.33</v>
      </c>
      <c r="Y545" s="11">
        <v>4578.33</v>
      </c>
      <c r="Z545" s="11">
        <v>4578.33</v>
      </c>
      <c r="AA545" s="11">
        <v>4578.33</v>
      </c>
      <c r="AB545" s="11">
        <v>4553.33</v>
      </c>
      <c r="AC545" s="11">
        <v>4553.33</v>
      </c>
      <c r="AD545" s="12">
        <f>SUM(R545:AC545)</f>
        <v>54889.960000000014</v>
      </c>
      <c r="AE545" s="11">
        <v>4553.33</v>
      </c>
      <c r="AF545" s="11">
        <v>4553.33</v>
      </c>
      <c r="AG545" s="11">
        <v>4553.33</v>
      </c>
      <c r="AH545" s="11">
        <v>4553.33</v>
      </c>
      <c r="AI545" s="11">
        <v>4553.33</v>
      </c>
      <c r="AJ545" s="11">
        <v>4553.33</v>
      </c>
      <c r="AK545" s="11">
        <v>4553.33</v>
      </c>
      <c r="AL545" s="11">
        <v>4553.33</v>
      </c>
      <c r="AM545" s="11">
        <v>4553.33</v>
      </c>
      <c r="AN545" s="11">
        <v>4553.33</v>
      </c>
      <c r="AO545" s="12">
        <v>4496.25</v>
      </c>
      <c r="AP545" s="12">
        <v>4496.25</v>
      </c>
      <c r="AQ545" s="3">
        <f>SUM(AE545:AP545)</f>
        <v>54525.80000000001</v>
      </c>
      <c r="AR545" s="3">
        <v>4496.25</v>
      </c>
      <c r="AS545" s="3">
        <v>4496.25</v>
      </c>
      <c r="AT545" s="3">
        <v>4496.25</v>
      </c>
      <c r="AU545" s="3">
        <v>4496.25</v>
      </c>
      <c r="AV545" s="3">
        <v>4496.25</v>
      </c>
      <c r="AW545" s="3">
        <v>4496.25</v>
      </c>
      <c r="AX545" s="3">
        <v>4496.25</v>
      </c>
      <c r="AY545" s="3">
        <v>4496.25</v>
      </c>
      <c r="AZ545" s="3">
        <v>4496.25</v>
      </c>
      <c r="BA545" s="3">
        <v>4496.25</v>
      </c>
      <c r="BB545" s="112">
        <v>4436.25</v>
      </c>
      <c r="BC545" s="112">
        <v>4436.25</v>
      </c>
      <c r="BD545" s="3">
        <f>SUM(AR545:BC545)</f>
        <v>53835</v>
      </c>
    </row>
    <row r="546" spans="1:56" x14ac:dyDescent="0.3">
      <c r="D546" s="8" t="s">
        <v>9</v>
      </c>
      <c r="E546" s="11">
        <v>250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2">
        <f>SUM(E546:P546)</f>
        <v>250</v>
      </c>
      <c r="R546" s="11">
        <v>250</v>
      </c>
      <c r="AD546" s="12">
        <f>SUM(R546:AC546)</f>
        <v>250</v>
      </c>
      <c r="AE546" s="11">
        <v>250</v>
      </c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3">
        <f>SUM(AE546:AP546)</f>
        <v>250</v>
      </c>
      <c r="AR546" s="3">
        <v>250</v>
      </c>
      <c r="AS546" s="3">
        <v>0</v>
      </c>
      <c r="AT546" s="3">
        <v>0</v>
      </c>
      <c r="AU546" s="3">
        <v>0</v>
      </c>
      <c r="AV546" s="3">
        <v>0</v>
      </c>
      <c r="AW546" s="3">
        <v>0</v>
      </c>
      <c r="AX546" s="3">
        <v>0</v>
      </c>
      <c r="AY546" s="3">
        <v>0</v>
      </c>
      <c r="AZ546" s="3">
        <v>0</v>
      </c>
      <c r="BA546" s="3">
        <v>0</v>
      </c>
      <c r="BB546" s="3">
        <v>0</v>
      </c>
      <c r="BC546" s="3">
        <v>0</v>
      </c>
      <c r="BD546" s="3">
        <f>SUM(AR546:BC546)</f>
        <v>250</v>
      </c>
    </row>
    <row r="547" spans="1:56" ht="13.5" thickBot="1" x14ac:dyDescent="0.35">
      <c r="A547" t="s">
        <v>266</v>
      </c>
      <c r="D547" s="8" t="s">
        <v>10</v>
      </c>
      <c r="E547" s="11">
        <f>8333.33+228487.5</f>
        <v>236820.83</v>
      </c>
      <c r="F547" s="11">
        <f>8333.33+228487.5</f>
        <v>236820.83</v>
      </c>
      <c r="G547" s="11">
        <f>8333.33+228487.5</f>
        <v>236820.83</v>
      </c>
      <c r="H547" s="11">
        <f>8333.33+228487.5</f>
        <v>236820.83</v>
      </c>
      <c r="I547" s="11">
        <f>8333.37+228487.5</f>
        <v>236820.87</v>
      </c>
      <c r="J547" s="11">
        <f>25000+228070.83</f>
        <v>253070.83</v>
      </c>
      <c r="K547" s="11">
        <f t="shared" ref="K547:U547" si="424">25000+228070.83</f>
        <v>253070.83</v>
      </c>
      <c r="L547" s="11">
        <f t="shared" si="424"/>
        <v>253070.83</v>
      </c>
      <c r="M547" s="11">
        <f t="shared" si="424"/>
        <v>253070.83</v>
      </c>
      <c r="N547" s="11">
        <f t="shared" si="424"/>
        <v>253070.83</v>
      </c>
      <c r="O547" s="11">
        <f>25000+228070.85</f>
        <v>253070.85</v>
      </c>
      <c r="P547" s="11">
        <f t="shared" si="424"/>
        <v>253070.83</v>
      </c>
      <c r="Q547" s="12">
        <f>SUM(E547:P547)</f>
        <v>2955600.0200000005</v>
      </c>
      <c r="R547" s="11">
        <f t="shared" si="424"/>
        <v>253070.83</v>
      </c>
      <c r="S547" s="11">
        <f t="shared" si="424"/>
        <v>253070.83</v>
      </c>
      <c r="T547" s="11">
        <f t="shared" si="424"/>
        <v>253070.83</v>
      </c>
      <c r="U547" s="11">
        <f t="shared" si="424"/>
        <v>253070.83</v>
      </c>
      <c r="V547" s="11">
        <f>25000+228070.85</f>
        <v>253070.85</v>
      </c>
      <c r="W547" s="11">
        <f>57083.33+226820.83</f>
        <v>283904.15999999997</v>
      </c>
      <c r="X547" s="11">
        <f t="shared" ref="X547:AH547" si="425">57083.33+226820.83</f>
        <v>283904.15999999997</v>
      </c>
      <c r="Y547" s="11">
        <f t="shared" si="425"/>
        <v>283904.15999999997</v>
      </c>
      <c r="Z547" s="11">
        <f t="shared" si="425"/>
        <v>283904.15999999997</v>
      </c>
      <c r="AA547" s="11">
        <f t="shared" si="425"/>
        <v>283904.15999999997</v>
      </c>
      <c r="AB547" s="11">
        <f>57083.33+226820.85</f>
        <v>283904.18</v>
      </c>
      <c r="AC547" s="11">
        <f t="shared" si="425"/>
        <v>283904.15999999997</v>
      </c>
      <c r="AD547" s="12">
        <f>SUM(R547:AC547)</f>
        <v>3252683.3100000005</v>
      </c>
      <c r="AE547" s="11">
        <f t="shared" si="425"/>
        <v>283904.15999999997</v>
      </c>
      <c r="AF547" s="11">
        <f t="shared" si="425"/>
        <v>283904.15999999997</v>
      </c>
      <c r="AG547" s="11">
        <f t="shared" si="425"/>
        <v>283904.15999999997</v>
      </c>
      <c r="AH547" s="11">
        <f t="shared" si="425"/>
        <v>283904.15999999997</v>
      </c>
      <c r="AI547" s="11">
        <f>57083.37+226820.85</f>
        <v>283904.22000000003</v>
      </c>
      <c r="AJ547" s="12">
        <f>60000+223966.67</f>
        <v>283966.67000000004</v>
      </c>
      <c r="AK547" s="12">
        <f t="shared" ref="AK547:AP547" si="426">60000+223966.67</f>
        <v>283966.67000000004</v>
      </c>
      <c r="AL547" s="12">
        <f t="shared" si="426"/>
        <v>283966.67000000004</v>
      </c>
      <c r="AM547" s="12">
        <f t="shared" si="426"/>
        <v>283966.67000000004</v>
      </c>
      <c r="AN547" s="12">
        <f t="shared" si="426"/>
        <v>283966.67000000004</v>
      </c>
      <c r="AO547" s="12">
        <f>60000+223966.65</f>
        <v>283966.65000000002</v>
      </c>
      <c r="AP547" s="12">
        <f t="shared" si="426"/>
        <v>283966.67000000004</v>
      </c>
      <c r="AQ547" s="3">
        <f>SUM(AE547:AP547)</f>
        <v>3407287.5299999993</v>
      </c>
      <c r="AR547" s="3">
        <f>60000+223966.67</f>
        <v>283966.67000000004</v>
      </c>
      <c r="AS547" s="3">
        <f>60000+223966.67</f>
        <v>283966.67000000004</v>
      </c>
      <c r="AT547" s="3">
        <f t="shared" ref="AT547:AU547" si="427">60000+223966.67</f>
        <v>283966.67000000004</v>
      </c>
      <c r="AU547" s="3">
        <f t="shared" si="427"/>
        <v>283966.67000000004</v>
      </c>
      <c r="AV547" s="3">
        <f>60000+223966.65</f>
        <v>283966.65000000002</v>
      </c>
      <c r="AW547" s="3">
        <f>63333.33+220966.67</f>
        <v>284300</v>
      </c>
      <c r="AX547" s="3">
        <f t="shared" ref="AX547:BA547" si="428">63333.33+220966.67</f>
        <v>284300</v>
      </c>
      <c r="AY547" s="3">
        <f t="shared" si="428"/>
        <v>284300</v>
      </c>
      <c r="AZ547" s="3">
        <f t="shared" si="428"/>
        <v>284300</v>
      </c>
      <c r="BA547" s="3">
        <f t="shared" si="428"/>
        <v>284300</v>
      </c>
      <c r="BB547" s="3">
        <f>63333.33+220966.65</f>
        <v>284299.98</v>
      </c>
      <c r="BC547" s="3">
        <f>63333.33+220966.67</f>
        <v>284300</v>
      </c>
      <c r="BD547" s="3">
        <f>SUM(AR547:BC547)</f>
        <v>3409933.31</v>
      </c>
    </row>
    <row r="548" spans="1:56" ht="13.5" thickBot="1" x14ac:dyDescent="0.35">
      <c r="D548" s="13" t="s">
        <v>267</v>
      </c>
      <c r="E548" s="14">
        <f t="shared" ref="E548:P548" si="429">SUM(E545:E547)</f>
        <v>241657.5</v>
      </c>
      <c r="F548" s="14">
        <f t="shared" si="429"/>
        <v>241407.5</v>
      </c>
      <c r="G548" s="14">
        <f t="shared" si="429"/>
        <v>241407.5</v>
      </c>
      <c r="H548" s="14">
        <f t="shared" si="429"/>
        <v>241407.5</v>
      </c>
      <c r="I548" s="14">
        <f t="shared" si="429"/>
        <v>241407.54</v>
      </c>
      <c r="J548" s="14">
        <f t="shared" si="429"/>
        <v>257657.5</v>
      </c>
      <c r="K548" s="14">
        <f t="shared" si="429"/>
        <v>257657.5</v>
      </c>
      <c r="L548" s="14">
        <f t="shared" si="429"/>
        <v>257657.5</v>
      </c>
      <c r="M548" s="14">
        <f t="shared" si="429"/>
        <v>257657.5</v>
      </c>
      <c r="N548" s="14">
        <f t="shared" si="429"/>
        <v>257657.5</v>
      </c>
      <c r="O548" s="14">
        <f t="shared" si="429"/>
        <v>257649.18</v>
      </c>
      <c r="P548" s="14">
        <f t="shared" si="429"/>
        <v>257649.15999999997</v>
      </c>
      <c r="Q548" s="14">
        <f>SUM(Q545:Q547)</f>
        <v>3010873.3800000004</v>
      </c>
      <c r="R548" s="14">
        <f t="shared" ref="R548:AC548" si="430">SUM(R545:R547)</f>
        <v>257899.15999999997</v>
      </c>
      <c r="S548" s="14">
        <f t="shared" si="430"/>
        <v>257649.15999999997</v>
      </c>
      <c r="T548" s="14">
        <f t="shared" si="430"/>
        <v>257649.15999999997</v>
      </c>
      <c r="U548" s="14">
        <f t="shared" si="430"/>
        <v>257649.15999999997</v>
      </c>
      <c r="V548" s="14">
        <f t="shared" si="430"/>
        <v>257649.18</v>
      </c>
      <c r="W548" s="14">
        <f t="shared" si="430"/>
        <v>288482.49</v>
      </c>
      <c r="X548" s="14">
        <f t="shared" si="430"/>
        <v>288482.49</v>
      </c>
      <c r="Y548" s="14">
        <f t="shared" si="430"/>
        <v>288482.49</v>
      </c>
      <c r="Z548" s="14">
        <f t="shared" si="430"/>
        <v>288482.49</v>
      </c>
      <c r="AA548" s="14">
        <f t="shared" si="430"/>
        <v>288482.49</v>
      </c>
      <c r="AB548" s="14">
        <f t="shared" si="430"/>
        <v>288457.51</v>
      </c>
      <c r="AC548" s="14">
        <f t="shared" si="430"/>
        <v>288457.49</v>
      </c>
      <c r="AD548" s="14">
        <f>SUM(AD545:AD547)</f>
        <v>3307823.2700000005</v>
      </c>
      <c r="AE548" s="14">
        <f>SUM(AE545:AE547)</f>
        <v>288707.49</v>
      </c>
      <c r="AF548" s="14">
        <f>SUM(AF545:AF547)</f>
        <v>288457.49</v>
      </c>
      <c r="AG548" s="14">
        <f t="shared" ref="AG548:AP548" si="431">SUM(AG545:AG547)</f>
        <v>288457.49</v>
      </c>
      <c r="AH548" s="14">
        <f t="shared" si="431"/>
        <v>288457.49</v>
      </c>
      <c r="AI548" s="14">
        <f t="shared" si="431"/>
        <v>288457.55000000005</v>
      </c>
      <c r="AJ548" s="14">
        <f t="shared" si="431"/>
        <v>288520.00000000006</v>
      </c>
      <c r="AK548" s="14">
        <f t="shared" si="431"/>
        <v>288520.00000000006</v>
      </c>
      <c r="AL548" s="14">
        <f t="shared" si="431"/>
        <v>288520.00000000006</v>
      </c>
      <c r="AM548" s="14">
        <f t="shared" si="431"/>
        <v>288520.00000000006</v>
      </c>
      <c r="AN548" s="14">
        <f t="shared" si="431"/>
        <v>288520.00000000006</v>
      </c>
      <c r="AO548" s="14">
        <f t="shared" si="431"/>
        <v>288462.90000000002</v>
      </c>
      <c r="AP548" s="14">
        <f t="shared" si="431"/>
        <v>288462.92000000004</v>
      </c>
      <c r="AQ548" s="22">
        <f>SUM(AQ545:AQ547)</f>
        <v>3462063.3299999991</v>
      </c>
      <c r="AR548" s="22">
        <f t="shared" ref="AR548:BD548" si="432">SUM(AR545:AR547)</f>
        <v>288712.92000000004</v>
      </c>
      <c r="AS548" s="22">
        <f t="shared" si="432"/>
        <v>288462.92000000004</v>
      </c>
      <c r="AT548" s="22">
        <f t="shared" si="432"/>
        <v>288462.92000000004</v>
      </c>
      <c r="AU548" s="22">
        <f t="shared" si="432"/>
        <v>288462.92000000004</v>
      </c>
      <c r="AV548" s="22">
        <f t="shared" si="432"/>
        <v>288462.90000000002</v>
      </c>
      <c r="AW548" s="22">
        <f t="shared" si="432"/>
        <v>288796.25</v>
      </c>
      <c r="AX548" s="22">
        <f t="shared" si="432"/>
        <v>288796.25</v>
      </c>
      <c r="AY548" s="22">
        <f t="shared" si="432"/>
        <v>288796.25</v>
      </c>
      <c r="AZ548" s="22">
        <f t="shared" si="432"/>
        <v>288796.25</v>
      </c>
      <c r="BA548" s="22">
        <f t="shared" si="432"/>
        <v>288796.25</v>
      </c>
      <c r="BB548" s="22">
        <f t="shared" si="432"/>
        <v>288736.23</v>
      </c>
      <c r="BC548" s="22">
        <f t="shared" si="432"/>
        <v>288736.25</v>
      </c>
      <c r="BD548" s="22">
        <f t="shared" si="432"/>
        <v>3464018.31</v>
      </c>
    </row>
    <row r="549" spans="1:56" x14ac:dyDescent="0.3">
      <c r="D549" s="15"/>
    </row>
    <row r="550" spans="1:56" ht="15.5" x14ac:dyDescent="0.35">
      <c r="B550" s="20">
        <f>+B544+1</f>
        <v>59</v>
      </c>
      <c r="C550" s="1" t="s">
        <v>14</v>
      </c>
      <c r="D550" s="25" t="s">
        <v>268</v>
      </c>
    </row>
    <row r="551" spans="1:56" x14ac:dyDescent="0.3">
      <c r="D551" s="8" t="s">
        <v>8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f>SUM(E551:P551)</f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f>SUM(R551:AC551)</f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12">
        <v>0</v>
      </c>
      <c r="AN551" s="12">
        <v>0</v>
      </c>
      <c r="AO551" s="12">
        <v>0</v>
      </c>
      <c r="AP551" s="12">
        <v>0</v>
      </c>
      <c r="AQ551" s="3">
        <f>SUM(AE551:AP551)</f>
        <v>0</v>
      </c>
      <c r="AR551" s="3">
        <v>0</v>
      </c>
      <c r="AS551" s="3">
        <v>0</v>
      </c>
      <c r="AT551" s="3">
        <v>0</v>
      </c>
      <c r="AU551" s="3">
        <v>0</v>
      </c>
      <c r="AV551" s="3">
        <v>0</v>
      </c>
      <c r="AW551" s="3">
        <v>0</v>
      </c>
      <c r="AX551" s="3">
        <v>0</v>
      </c>
      <c r="AY551" s="3">
        <v>0</v>
      </c>
      <c r="AZ551" s="3">
        <v>0</v>
      </c>
      <c r="BA551" s="3">
        <v>0</v>
      </c>
      <c r="BB551" s="3">
        <v>0</v>
      </c>
      <c r="BC551" s="3">
        <v>0</v>
      </c>
      <c r="BD551" s="3">
        <f>SUM(AR551:BC551)</f>
        <v>0</v>
      </c>
    </row>
    <row r="552" spans="1:56" x14ac:dyDescent="0.3">
      <c r="D552" s="8" t="s">
        <v>9</v>
      </c>
      <c r="E552" s="11">
        <v>250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2">
        <f>SUM(E552:P552)</f>
        <v>250</v>
      </c>
      <c r="R552" s="11">
        <v>250</v>
      </c>
      <c r="AD552" s="12">
        <f>SUM(R552:AC552)</f>
        <v>250</v>
      </c>
      <c r="AE552" s="11">
        <v>250</v>
      </c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3">
        <f>SUM(AE552:AP552)</f>
        <v>250</v>
      </c>
      <c r="AR552" s="3">
        <v>250</v>
      </c>
      <c r="AS552" s="3">
        <v>0</v>
      </c>
      <c r="AT552" s="3">
        <v>0</v>
      </c>
      <c r="AU552" s="3">
        <v>0</v>
      </c>
      <c r="AV552" s="3">
        <v>0</v>
      </c>
      <c r="AW552" s="3">
        <v>0</v>
      </c>
      <c r="AX552" s="3">
        <v>0</v>
      </c>
      <c r="AY552" s="3">
        <v>0</v>
      </c>
      <c r="AZ552" s="3">
        <v>0</v>
      </c>
      <c r="BA552" s="3">
        <v>0</v>
      </c>
      <c r="BB552" s="3">
        <v>0</v>
      </c>
      <c r="BC552" s="3">
        <v>0</v>
      </c>
      <c r="BD552" s="3">
        <f>SUM(AR552:BC552)</f>
        <v>250</v>
      </c>
    </row>
    <row r="553" spans="1:56" ht="13.5" thickBot="1" x14ac:dyDescent="0.35">
      <c r="A553" t="s">
        <v>269</v>
      </c>
      <c r="D553" s="8" t="s">
        <v>10</v>
      </c>
      <c r="E553" s="11">
        <v>184948.75</v>
      </c>
      <c r="F553" s="11">
        <v>184656.25</v>
      </c>
      <c r="G553" s="11">
        <v>183363.75</v>
      </c>
      <c r="H553" s="11">
        <v>183074.5</v>
      </c>
      <c r="I553" s="11">
        <v>182785.25</v>
      </c>
      <c r="J553" s="11">
        <v>180496</v>
      </c>
      <c r="K553" s="11">
        <v>180213.25</v>
      </c>
      <c r="L553" s="11">
        <v>178930.5</v>
      </c>
      <c r="M553" s="11">
        <v>177651</v>
      </c>
      <c r="N553" s="11">
        <v>177374.75</v>
      </c>
      <c r="O553" s="11">
        <v>177098.5</v>
      </c>
      <c r="P553" s="11">
        <v>185822.25</v>
      </c>
      <c r="Q553" s="12">
        <f>SUM(E553:P553)</f>
        <v>2176414.75</v>
      </c>
      <c r="R553" s="11">
        <f>93000+91516.75</f>
        <v>184516.75</v>
      </c>
      <c r="S553" s="11">
        <f>93000+91214.5</f>
        <v>184214.5</v>
      </c>
      <c r="T553" s="11">
        <f>93000+90912.25</f>
        <v>183912.25</v>
      </c>
      <c r="U553" s="11">
        <f>93000+90610</f>
        <v>183610</v>
      </c>
      <c r="V553" s="11">
        <f>92000+90307.75</f>
        <v>182307.75</v>
      </c>
      <c r="W553" s="11">
        <f>90000+90008.75</f>
        <v>180008.75</v>
      </c>
      <c r="X553" s="11">
        <f>90000+89716.25</f>
        <v>179716.25</v>
      </c>
      <c r="Y553" s="11">
        <f>90000+89423.75</f>
        <v>179423.75</v>
      </c>
      <c r="Z553" s="11">
        <f>89000+89131.25</f>
        <v>178131.25</v>
      </c>
      <c r="AA553" s="11">
        <f>88000+88842</f>
        <v>176842</v>
      </c>
      <c r="AB553" s="11">
        <f>88000+88556</f>
        <v>176556</v>
      </c>
      <c r="AC553" s="11">
        <f>97000+88270</f>
        <v>185270</v>
      </c>
      <c r="AD553" s="12">
        <f>SUM(R553:AC553)</f>
        <v>2174509.25</v>
      </c>
      <c r="AE553" s="12">
        <f>97000+87954.75</f>
        <v>184954.75</v>
      </c>
      <c r="AF553" s="12">
        <f>97000+87639.5</f>
        <v>184639.5</v>
      </c>
      <c r="AG553" s="12">
        <f>96000+87324.25</f>
        <v>183324.25</v>
      </c>
      <c r="AH553" s="12">
        <f>96000+87012.25</f>
        <v>183012.25</v>
      </c>
      <c r="AI553" s="12">
        <f>96000+86700.25</f>
        <v>182700.25</v>
      </c>
      <c r="AJ553" s="12">
        <f>95000+86388.25</f>
        <v>181388.25</v>
      </c>
      <c r="AK553" s="12">
        <f>94000+86079.5</f>
        <v>180079.5</v>
      </c>
      <c r="AL553" s="12">
        <f>93000+85774</f>
        <v>178774</v>
      </c>
      <c r="AM553" s="12">
        <f>92000+85471.75</f>
        <v>177471.75</v>
      </c>
      <c r="AN553" s="12">
        <f>92000+85172.75</f>
        <v>177172.75</v>
      </c>
      <c r="AO553" s="12">
        <f>92000+84873.75</f>
        <v>176873.75</v>
      </c>
      <c r="AP553" s="12">
        <f>101000+84574.75</f>
        <v>185574.75</v>
      </c>
      <c r="AQ553" s="3">
        <f>SUM(AE553:AP553)</f>
        <v>2175965.75</v>
      </c>
      <c r="AR553" s="3">
        <f>101000+84246.5</f>
        <v>185246.5</v>
      </c>
      <c r="AS553" s="3">
        <f>100000+83918.25</f>
        <v>183918.25</v>
      </c>
      <c r="AT553" s="3">
        <f>100000+83593.25</f>
        <v>183593.25</v>
      </c>
      <c r="AU553" s="3">
        <f>100000+83268.25</f>
        <v>183268.25</v>
      </c>
      <c r="AV553" s="3">
        <f>100000+82943.25</f>
        <v>182943.25</v>
      </c>
      <c r="AW553" s="3">
        <f>98000+82618.25</f>
        <v>180618.25</v>
      </c>
      <c r="AX553" s="3">
        <f>97000+82299.75</f>
        <v>179299.75</v>
      </c>
      <c r="AY553" s="3">
        <f>97000+81984.5</f>
        <v>178984.5</v>
      </c>
      <c r="AZ553" s="3">
        <f>97000+81669.25</f>
        <v>178669.25</v>
      </c>
      <c r="BA553" s="3">
        <f>96000+81354</f>
        <v>177354</v>
      </c>
      <c r="BB553" s="3">
        <f>95000+81042</f>
        <v>176042</v>
      </c>
      <c r="BC553" s="3">
        <f>106000+80733.25</f>
        <v>186733.25</v>
      </c>
      <c r="BD553" s="3">
        <f>SUM(AR553:BC553)</f>
        <v>2176670.5</v>
      </c>
    </row>
    <row r="554" spans="1:56" ht="13.5" thickBot="1" x14ac:dyDescent="0.35">
      <c r="D554" s="13" t="s">
        <v>270</v>
      </c>
      <c r="E554" s="14">
        <f t="shared" ref="E554:P554" si="433">SUM(E551:E553)</f>
        <v>185198.75</v>
      </c>
      <c r="F554" s="14">
        <f t="shared" si="433"/>
        <v>184656.25</v>
      </c>
      <c r="G554" s="14">
        <f t="shared" si="433"/>
        <v>183363.75</v>
      </c>
      <c r="H554" s="14">
        <f t="shared" si="433"/>
        <v>183074.5</v>
      </c>
      <c r="I554" s="14">
        <f t="shared" si="433"/>
        <v>182785.25</v>
      </c>
      <c r="J554" s="14">
        <f t="shared" si="433"/>
        <v>180496</v>
      </c>
      <c r="K554" s="14">
        <f t="shared" si="433"/>
        <v>180213.25</v>
      </c>
      <c r="L554" s="14">
        <f t="shared" si="433"/>
        <v>178930.5</v>
      </c>
      <c r="M554" s="14">
        <f t="shared" si="433"/>
        <v>177651</v>
      </c>
      <c r="N554" s="14">
        <f t="shared" si="433"/>
        <v>177374.75</v>
      </c>
      <c r="O554" s="14">
        <f t="shared" si="433"/>
        <v>177098.5</v>
      </c>
      <c r="P554" s="14">
        <f t="shared" si="433"/>
        <v>185822.25</v>
      </c>
      <c r="Q554" s="14">
        <f>SUM(Q551:Q553)</f>
        <v>2176664.75</v>
      </c>
      <c r="R554" s="14">
        <f t="shared" ref="R554:AC554" si="434">SUM(R551:R553)</f>
        <v>184766.75</v>
      </c>
      <c r="S554" s="14">
        <f t="shared" si="434"/>
        <v>184214.5</v>
      </c>
      <c r="T554" s="14">
        <f t="shared" si="434"/>
        <v>183912.25</v>
      </c>
      <c r="U554" s="14">
        <f t="shared" si="434"/>
        <v>183610</v>
      </c>
      <c r="V554" s="14">
        <f t="shared" si="434"/>
        <v>182307.75</v>
      </c>
      <c r="W554" s="14">
        <f t="shared" si="434"/>
        <v>180008.75</v>
      </c>
      <c r="X554" s="14">
        <f t="shared" si="434"/>
        <v>179716.25</v>
      </c>
      <c r="Y554" s="14">
        <f t="shared" si="434"/>
        <v>179423.75</v>
      </c>
      <c r="Z554" s="14">
        <f t="shared" si="434"/>
        <v>178131.25</v>
      </c>
      <c r="AA554" s="14">
        <f t="shared" si="434"/>
        <v>176842</v>
      </c>
      <c r="AB554" s="14">
        <f t="shared" si="434"/>
        <v>176556</v>
      </c>
      <c r="AC554" s="14">
        <f t="shared" si="434"/>
        <v>185270</v>
      </c>
      <c r="AD554" s="14">
        <f>SUM(AD551:AD553)</f>
        <v>2174759.25</v>
      </c>
      <c r="AE554" s="14">
        <f>SUM(AE551:AE553)</f>
        <v>185204.75</v>
      </c>
      <c r="AF554" s="14">
        <f>SUM(AF551:AF553)</f>
        <v>184639.5</v>
      </c>
      <c r="AG554" s="14">
        <f t="shared" ref="AG554:AP554" si="435">SUM(AG551:AG553)</f>
        <v>183324.25</v>
      </c>
      <c r="AH554" s="14">
        <f t="shared" si="435"/>
        <v>183012.25</v>
      </c>
      <c r="AI554" s="14">
        <f t="shared" si="435"/>
        <v>182700.25</v>
      </c>
      <c r="AJ554" s="14">
        <f t="shared" si="435"/>
        <v>181388.25</v>
      </c>
      <c r="AK554" s="14">
        <f t="shared" si="435"/>
        <v>180079.5</v>
      </c>
      <c r="AL554" s="14">
        <f t="shared" si="435"/>
        <v>178774</v>
      </c>
      <c r="AM554" s="14">
        <f t="shared" si="435"/>
        <v>177471.75</v>
      </c>
      <c r="AN554" s="14">
        <f t="shared" si="435"/>
        <v>177172.75</v>
      </c>
      <c r="AO554" s="14">
        <f t="shared" si="435"/>
        <v>176873.75</v>
      </c>
      <c r="AP554" s="14">
        <f t="shared" si="435"/>
        <v>185574.75</v>
      </c>
      <c r="AQ554" s="22">
        <f>SUM(AQ551:AQ553)</f>
        <v>2176215.75</v>
      </c>
      <c r="AR554" s="22">
        <f t="shared" ref="AR554:BD554" si="436">SUM(AR551:AR553)</f>
        <v>185496.5</v>
      </c>
      <c r="AS554" s="22">
        <f t="shared" si="436"/>
        <v>183918.25</v>
      </c>
      <c r="AT554" s="22">
        <f t="shared" si="436"/>
        <v>183593.25</v>
      </c>
      <c r="AU554" s="22">
        <f t="shared" si="436"/>
        <v>183268.25</v>
      </c>
      <c r="AV554" s="22">
        <f t="shared" si="436"/>
        <v>182943.25</v>
      </c>
      <c r="AW554" s="22">
        <f t="shared" si="436"/>
        <v>180618.25</v>
      </c>
      <c r="AX554" s="22">
        <f t="shared" si="436"/>
        <v>179299.75</v>
      </c>
      <c r="AY554" s="22">
        <f t="shared" si="436"/>
        <v>178984.5</v>
      </c>
      <c r="AZ554" s="22">
        <f t="shared" si="436"/>
        <v>178669.25</v>
      </c>
      <c r="BA554" s="22">
        <f t="shared" si="436"/>
        <v>177354</v>
      </c>
      <c r="BB554" s="22">
        <f t="shared" si="436"/>
        <v>176042</v>
      </c>
      <c r="BC554" s="22">
        <f t="shared" si="436"/>
        <v>186733.25</v>
      </c>
      <c r="BD554" s="22">
        <f t="shared" si="436"/>
        <v>2176920.5</v>
      </c>
    </row>
    <row r="555" spans="1:56" x14ac:dyDescent="0.3">
      <c r="D555" s="15"/>
    </row>
    <row r="556" spans="1:56" ht="15.5" x14ac:dyDescent="0.35">
      <c r="B556" s="20">
        <f>+B550+1</f>
        <v>60</v>
      </c>
      <c r="C556" s="1" t="s">
        <v>14</v>
      </c>
      <c r="D556" s="25" t="s">
        <v>271</v>
      </c>
    </row>
    <row r="557" spans="1:56" x14ac:dyDescent="0.3">
      <c r="D557" s="8" t="s">
        <v>8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f>SUM(E557:P557)</f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f>SUM(R557:AC557)</f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0</v>
      </c>
      <c r="AM557" s="12">
        <v>0</v>
      </c>
      <c r="AN557" s="12">
        <v>0</v>
      </c>
      <c r="AO557" s="12">
        <v>0</v>
      </c>
      <c r="AP557" s="12">
        <v>0</v>
      </c>
      <c r="AQ557" s="3">
        <f>SUM(AE557:AP557)</f>
        <v>0</v>
      </c>
      <c r="AR557" s="3">
        <v>0</v>
      </c>
      <c r="AS557" s="3">
        <v>0</v>
      </c>
      <c r="AT557" s="3">
        <v>0</v>
      </c>
      <c r="AU557" s="3">
        <v>0</v>
      </c>
      <c r="AV557" s="3">
        <v>0</v>
      </c>
      <c r="AW557" s="3">
        <v>0</v>
      </c>
      <c r="AX557" s="3">
        <v>0</v>
      </c>
      <c r="AY557" s="3">
        <v>0</v>
      </c>
      <c r="AZ557" s="3">
        <v>0</v>
      </c>
      <c r="BA557" s="3">
        <v>0</v>
      </c>
      <c r="BB557" s="3">
        <v>0</v>
      </c>
      <c r="BC557" s="3">
        <v>0</v>
      </c>
      <c r="BD557" s="3">
        <f>SUM(AR557:BC557)</f>
        <v>0</v>
      </c>
    </row>
    <row r="558" spans="1:56" x14ac:dyDescent="0.3">
      <c r="D558" s="8" t="s">
        <v>9</v>
      </c>
      <c r="E558" s="11">
        <v>250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2">
        <f>SUM(E558:P558)</f>
        <v>250</v>
      </c>
      <c r="R558" s="11">
        <v>250</v>
      </c>
      <c r="AD558" s="12">
        <f>SUM(R558:AC558)</f>
        <v>250</v>
      </c>
      <c r="AE558" s="11">
        <v>250</v>
      </c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3">
        <f>SUM(AE558:AP558)</f>
        <v>250</v>
      </c>
      <c r="AR558" s="3">
        <v>250</v>
      </c>
      <c r="AS558" s="3">
        <v>0</v>
      </c>
      <c r="AT558" s="3">
        <v>0</v>
      </c>
      <c r="AU558" s="3">
        <v>0</v>
      </c>
      <c r="AV558" s="3">
        <v>0</v>
      </c>
      <c r="AW558" s="3">
        <v>0</v>
      </c>
      <c r="AX558" s="3">
        <v>0</v>
      </c>
      <c r="AY558" s="3">
        <v>0</v>
      </c>
      <c r="AZ558" s="3">
        <v>0</v>
      </c>
      <c r="BA558" s="3">
        <v>0</v>
      </c>
      <c r="BB558" s="3">
        <v>0</v>
      </c>
      <c r="BC558" s="3">
        <v>0</v>
      </c>
      <c r="BD558" s="3">
        <f>SUM(AR558:BC558)</f>
        <v>250</v>
      </c>
    </row>
    <row r="559" spans="1:56" ht="13.5" thickBot="1" x14ac:dyDescent="0.35">
      <c r="A559" t="s">
        <v>272</v>
      </c>
      <c r="D559" s="8" t="s">
        <v>10</v>
      </c>
      <c r="E559" s="12">
        <v>66750</v>
      </c>
      <c r="F559" s="12">
        <v>66750</v>
      </c>
      <c r="G559" s="12">
        <v>66750</v>
      </c>
      <c r="H559" s="12">
        <v>66750</v>
      </c>
      <c r="I559" s="12">
        <v>66750</v>
      </c>
      <c r="J559" s="12">
        <v>66750</v>
      </c>
      <c r="K559" s="12">
        <v>66750</v>
      </c>
      <c r="L559" s="12">
        <v>66750</v>
      </c>
      <c r="M559" s="12">
        <v>66750</v>
      </c>
      <c r="N559" s="12">
        <v>66750</v>
      </c>
      <c r="O559" s="12">
        <v>66750</v>
      </c>
      <c r="P559" s="11">
        <v>89406.25</v>
      </c>
      <c r="Q559" s="12">
        <f>SUM(E559:P559)</f>
        <v>823656.25</v>
      </c>
      <c r="R559" s="11">
        <v>89406.25</v>
      </c>
      <c r="S559" s="11">
        <v>89406.25</v>
      </c>
      <c r="T559" s="11">
        <v>89406.25</v>
      </c>
      <c r="U559" s="11">
        <v>89406.25</v>
      </c>
      <c r="V559" s="11">
        <v>89406.25</v>
      </c>
      <c r="W559" s="11">
        <v>93937.5</v>
      </c>
      <c r="X559" s="11">
        <v>93937.5</v>
      </c>
      <c r="Y559" s="11">
        <v>66750</v>
      </c>
      <c r="Z559" s="11">
        <v>66750</v>
      </c>
      <c r="AA559" s="11">
        <v>66750</v>
      </c>
      <c r="AB559" s="11">
        <v>66750</v>
      </c>
      <c r="AC559" s="11">
        <f>29166.67+66750</f>
        <v>95916.67</v>
      </c>
      <c r="AD559" s="12">
        <f>SUM(R559:AC559)</f>
        <v>997822.92</v>
      </c>
      <c r="AE559" s="11">
        <f t="shared" ref="AE559:AN559" si="437">29166.67+66750</f>
        <v>95916.67</v>
      </c>
      <c r="AF559" s="11">
        <f t="shared" si="437"/>
        <v>95916.67</v>
      </c>
      <c r="AG559" s="11">
        <f t="shared" si="437"/>
        <v>95916.67</v>
      </c>
      <c r="AH559" s="11">
        <f t="shared" si="437"/>
        <v>95916.67</v>
      </c>
      <c r="AI559" s="11">
        <f t="shared" si="437"/>
        <v>95916.67</v>
      </c>
      <c r="AJ559" s="11">
        <f t="shared" si="437"/>
        <v>95916.67</v>
      </c>
      <c r="AK559" s="11">
        <f t="shared" si="437"/>
        <v>95916.67</v>
      </c>
      <c r="AL559" s="11">
        <f t="shared" si="437"/>
        <v>95916.67</v>
      </c>
      <c r="AM559" s="11">
        <f t="shared" si="437"/>
        <v>95916.67</v>
      </c>
      <c r="AN559" s="11">
        <f t="shared" si="437"/>
        <v>95916.67</v>
      </c>
      <c r="AO559" s="11">
        <f>29166.63+66750</f>
        <v>95916.63</v>
      </c>
      <c r="AP559" s="12">
        <f>22500+65043.75</f>
        <v>87543.75</v>
      </c>
      <c r="AQ559" s="3">
        <f>SUM(AE559:AP559)</f>
        <v>1142627.08</v>
      </c>
      <c r="AR559" s="3">
        <f>22500+65043.75</f>
        <v>87543.75</v>
      </c>
      <c r="AS559" s="3">
        <f t="shared" ref="AS559:BB559" si="438">22500+65043.75</f>
        <v>87543.75</v>
      </c>
      <c r="AT559" s="3">
        <f t="shared" si="438"/>
        <v>87543.75</v>
      </c>
      <c r="AU559" s="3">
        <f t="shared" si="438"/>
        <v>87543.75</v>
      </c>
      <c r="AV559" s="3">
        <f t="shared" si="438"/>
        <v>87543.75</v>
      </c>
      <c r="AW559" s="3">
        <f t="shared" si="438"/>
        <v>87543.75</v>
      </c>
      <c r="AX559" s="3">
        <f t="shared" si="438"/>
        <v>87543.75</v>
      </c>
      <c r="AY559" s="3">
        <f t="shared" si="438"/>
        <v>87543.75</v>
      </c>
      <c r="AZ559" s="3">
        <f t="shared" si="438"/>
        <v>87543.75</v>
      </c>
      <c r="BA559" s="3">
        <f t="shared" si="438"/>
        <v>87543.75</v>
      </c>
      <c r="BB559" s="3">
        <f t="shared" si="438"/>
        <v>87543.75</v>
      </c>
      <c r="BC559" s="3">
        <f>23333.33+64031.25</f>
        <v>87364.58</v>
      </c>
      <c r="BD559" s="3">
        <f>SUM(AR559:BC559)</f>
        <v>1050345.83</v>
      </c>
    </row>
    <row r="560" spans="1:56" ht="13.5" thickBot="1" x14ac:dyDescent="0.35">
      <c r="D560" s="13" t="s">
        <v>273</v>
      </c>
      <c r="E560" s="14">
        <f t="shared" ref="E560:P560" si="439">SUM(E557:E559)</f>
        <v>67000</v>
      </c>
      <c r="F560" s="14">
        <f t="shared" si="439"/>
        <v>66750</v>
      </c>
      <c r="G560" s="14">
        <f t="shared" si="439"/>
        <v>66750</v>
      </c>
      <c r="H560" s="14">
        <f t="shared" si="439"/>
        <v>66750</v>
      </c>
      <c r="I560" s="14">
        <f t="shared" si="439"/>
        <v>66750</v>
      </c>
      <c r="J560" s="14">
        <f t="shared" si="439"/>
        <v>66750</v>
      </c>
      <c r="K560" s="14">
        <f t="shared" si="439"/>
        <v>66750</v>
      </c>
      <c r="L560" s="14">
        <f t="shared" si="439"/>
        <v>66750</v>
      </c>
      <c r="M560" s="14">
        <f t="shared" si="439"/>
        <v>66750</v>
      </c>
      <c r="N560" s="14">
        <f t="shared" si="439"/>
        <v>66750</v>
      </c>
      <c r="O560" s="14">
        <f t="shared" si="439"/>
        <v>66750</v>
      </c>
      <c r="P560" s="14">
        <f t="shared" si="439"/>
        <v>89406.25</v>
      </c>
      <c r="Q560" s="14">
        <f>SUM(Q557:Q559)</f>
        <v>823906.25</v>
      </c>
      <c r="R560" s="14">
        <f t="shared" ref="R560:AC560" si="440">SUM(R557:R559)</f>
        <v>89656.25</v>
      </c>
      <c r="S560" s="14">
        <f t="shared" si="440"/>
        <v>89406.25</v>
      </c>
      <c r="T560" s="14">
        <f t="shared" si="440"/>
        <v>89406.25</v>
      </c>
      <c r="U560" s="14">
        <f t="shared" si="440"/>
        <v>89406.25</v>
      </c>
      <c r="V560" s="14">
        <f t="shared" si="440"/>
        <v>89406.25</v>
      </c>
      <c r="W560" s="14">
        <f t="shared" si="440"/>
        <v>93937.5</v>
      </c>
      <c r="X560" s="14">
        <f t="shared" si="440"/>
        <v>93937.5</v>
      </c>
      <c r="Y560" s="14">
        <f t="shared" si="440"/>
        <v>66750</v>
      </c>
      <c r="Z560" s="14">
        <f t="shared" si="440"/>
        <v>66750</v>
      </c>
      <c r="AA560" s="14">
        <f t="shared" si="440"/>
        <v>66750</v>
      </c>
      <c r="AB560" s="14">
        <f t="shared" si="440"/>
        <v>66750</v>
      </c>
      <c r="AC560" s="14">
        <f t="shared" si="440"/>
        <v>95916.67</v>
      </c>
      <c r="AD560" s="14">
        <f>SUM(AD557:AD559)</f>
        <v>998072.92</v>
      </c>
      <c r="AE560" s="14">
        <f>SUM(AE557:AE559)</f>
        <v>96166.67</v>
      </c>
      <c r="AF560" s="14">
        <f>SUM(AF557:AF559)</f>
        <v>95916.67</v>
      </c>
      <c r="AG560" s="14">
        <f t="shared" ref="AG560:AP560" si="441">SUM(AG557:AG559)</f>
        <v>95916.67</v>
      </c>
      <c r="AH560" s="14">
        <f t="shared" si="441"/>
        <v>95916.67</v>
      </c>
      <c r="AI560" s="14">
        <f t="shared" si="441"/>
        <v>95916.67</v>
      </c>
      <c r="AJ560" s="14">
        <f t="shared" si="441"/>
        <v>95916.67</v>
      </c>
      <c r="AK560" s="14">
        <f t="shared" si="441"/>
        <v>95916.67</v>
      </c>
      <c r="AL560" s="14">
        <f t="shared" si="441"/>
        <v>95916.67</v>
      </c>
      <c r="AM560" s="14">
        <f t="shared" si="441"/>
        <v>95916.67</v>
      </c>
      <c r="AN560" s="14">
        <f t="shared" si="441"/>
        <v>95916.67</v>
      </c>
      <c r="AO560" s="14">
        <f t="shared" si="441"/>
        <v>95916.63</v>
      </c>
      <c r="AP560" s="14">
        <f t="shared" si="441"/>
        <v>87543.75</v>
      </c>
      <c r="AQ560" s="22">
        <f>SUM(AQ557:AQ559)</f>
        <v>1142877.08</v>
      </c>
      <c r="AR560" s="22">
        <f t="shared" ref="AR560:BD560" si="442">SUM(AR557:AR559)</f>
        <v>87793.75</v>
      </c>
      <c r="AS560" s="22">
        <f t="shared" si="442"/>
        <v>87543.75</v>
      </c>
      <c r="AT560" s="22">
        <f t="shared" si="442"/>
        <v>87543.75</v>
      </c>
      <c r="AU560" s="22">
        <f t="shared" si="442"/>
        <v>87543.75</v>
      </c>
      <c r="AV560" s="22">
        <f t="shared" si="442"/>
        <v>87543.75</v>
      </c>
      <c r="AW560" s="22">
        <f t="shared" si="442"/>
        <v>87543.75</v>
      </c>
      <c r="AX560" s="22">
        <f t="shared" si="442"/>
        <v>87543.75</v>
      </c>
      <c r="AY560" s="22">
        <f t="shared" si="442"/>
        <v>87543.75</v>
      </c>
      <c r="AZ560" s="22">
        <f t="shared" si="442"/>
        <v>87543.75</v>
      </c>
      <c r="BA560" s="22">
        <f t="shared" si="442"/>
        <v>87543.75</v>
      </c>
      <c r="BB560" s="22">
        <f t="shared" si="442"/>
        <v>87543.75</v>
      </c>
      <c r="BC560" s="22">
        <f t="shared" si="442"/>
        <v>87364.58</v>
      </c>
      <c r="BD560" s="22">
        <f t="shared" si="442"/>
        <v>1050595.83</v>
      </c>
    </row>
    <row r="561" spans="1:56" x14ac:dyDescent="0.3">
      <c r="D561" s="15"/>
    </row>
    <row r="562" spans="1:56" ht="15.5" x14ac:dyDescent="0.35">
      <c r="B562" s="20">
        <f>+B556+1</f>
        <v>61</v>
      </c>
      <c r="C562" s="1" t="s">
        <v>14</v>
      </c>
      <c r="D562" s="25" t="s">
        <v>274</v>
      </c>
    </row>
    <row r="563" spans="1:56" x14ac:dyDescent="0.3">
      <c r="D563" s="8" t="s">
        <v>8</v>
      </c>
      <c r="E563" s="12">
        <v>1247.5</v>
      </c>
      <c r="F563" s="12">
        <v>1247.5</v>
      </c>
      <c r="G563" s="12">
        <v>1247.5</v>
      </c>
      <c r="H563" s="12">
        <v>1247.5</v>
      </c>
      <c r="I563" s="12">
        <v>1247.5</v>
      </c>
      <c r="J563" s="12">
        <v>1247.5</v>
      </c>
      <c r="K563" s="12">
        <v>1247.5</v>
      </c>
      <c r="L563" s="12">
        <v>1247.5</v>
      </c>
      <c r="M563" s="12">
        <v>1247.5</v>
      </c>
      <c r="N563" s="12">
        <v>1247.5</v>
      </c>
      <c r="O563" s="12">
        <v>1247.5</v>
      </c>
      <c r="P563" s="12">
        <v>1247.5</v>
      </c>
      <c r="Q563" s="12">
        <f>SUM(E563:P563)</f>
        <v>14970</v>
      </c>
      <c r="R563" s="12">
        <v>1247.5</v>
      </c>
      <c r="S563" s="12">
        <v>1247.5</v>
      </c>
      <c r="T563" s="12">
        <v>1247.5</v>
      </c>
      <c r="U563" s="12">
        <v>1247.5</v>
      </c>
      <c r="V563" s="12">
        <v>1247.5</v>
      </c>
      <c r="W563" s="12">
        <v>1247.5</v>
      </c>
      <c r="X563" s="12">
        <v>1247.5</v>
      </c>
      <c r="Y563" s="12">
        <v>1247.5</v>
      </c>
      <c r="Z563" s="12">
        <v>1247.5</v>
      </c>
      <c r="AA563" s="12">
        <v>1247.5</v>
      </c>
      <c r="AB563" s="12">
        <v>1247.5</v>
      </c>
      <c r="AC563" s="12">
        <v>1225.83</v>
      </c>
      <c r="AD563" s="12">
        <f>SUM(R563:AC563)</f>
        <v>14948.33</v>
      </c>
      <c r="AE563" s="12">
        <v>1225.83</v>
      </c>
      <c r="AF563" s="12">
        <v>1225.83</v>
      </c>
      <c r="AG563" s="12">
        <v>1225.83</v>
      </c>
      <c r="AH563" s="12">
        <v>1225.83</v>
      </c>
      <c r="AI563" s="12">
        <v>1225.83</v>
      </c>
      <c r="AJ563" s="12">
        <v>1225.83</v>
      </c>
      <c r="AK563" s="12">
        <v>1225.83</v>
      </c>
      <c r="AL563" s="12">
        <v>1225.83</v>
      </c>
      <c r="AM563" s="12">
        <v>1225.83</v>
      </c>
      <c r="AN563" s="12">
        <v>1225.83</v>
      </c>
      <c r="AO563" s="12">
        <v>1225.83</v>
      </c>
      <c r="AP563" s="12">
        <v>1203.33</v>
      </c>
      <c r="AQ563" s="3">
        <f>SUM(AE563:AP563)</f>
        <v>14687.46</v>
      </c>
      <c r="AR563" s="3">
        <v>1203.33</v>
      </c>
      <c r="AS563" s="3">
        <v>1203.33</v>
      </c>
      <c r="AT563" s="3">
        <v>1203.33</v>
      </c>
      <c r="AU563" s="3">
        <v>1203.33</v>
      </c>
      <c r="AV563" s="3">
        <v>1203.33</v>
      </c>
      <c r="AW563" s="3">
        <v>1203.33</v>
      </c>
      <c r="AX563" s="3">
        <v>1203.33</v>
      </c>
      <c r="AY563" s="3">
        <v>1203.33</v>
      </c>
      <c r="AZ563" s="3">
        <v>1203.33</v>
      </c>
      <c r="BA563" s="3">
        <v>1203.33</v>
      </c>
      <c r="BB563" s="3">
        <v>1203.33</v>
      </c>
      <c r="BC563" s="3">
        <v>1179.58</v>
      </c>
      <c r="BD563" s="3">
        <f>SUM(AR563:BC563)</f>
        <v>14416.21</v>
      </c>
    </row>
    <row r="564" spans="1:56" x14ac:dyDescent="0.3">
      <c r="D564" s="8" t="s">
        <v>9</v>
      </c>
      <c r="E564" s="11">
        <v>250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2">
        <f>SUM(E564:P564)</f>
        <v>250</v>
      </c>
      <c r="R564" s="11">
        <v>250</v>
      </c>
      <c r="AD564" s="12">
        <f>SUM(R564:AC564)</f>
        <v>250</v>
      </c>
      <c r="AE564" s="11">
        <v>250</v>
      </c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3">
        <f>SUM(AE564:AP564)</f>
        <v>250</v>
      </c>
      <c r="AR564" s="3">
        <v>250</v>
      </c>
      <c r="AS564" s="3">
        <v>0</v>
      </c>
      <c r="AT564" s="3">
        <v>0</v>
      </c>
      <c r="AU564" s="3">
        <v>0</v>
      </c>
      <c r="AV564" s="3">
        <v>0</v>
      </c>
      <c r="AW564" s="3">
        <v>0</v>
      </c>
      <c r="AX564" s="3">
        <v>0</v>
      </c>
      <c r="AY564" s="3">
        <v>0</v>
      </c>
      <c r="AZ564" s="3">
        <v>0</v>
      </c>
      <c r="BA564" s="3">
        <v>0</v>
      </c>
      <c r="BB564" s="3">
        <v>0</v>
      </c>
      <c r="BC564" s="3">
        <v>0</v>
      </c>
      <c r="BD564" s="3">
        <f>SUM(AR564:BC564)</f>
        <v>250</v>
      </c>
    </row>
    <row r="565" spans="1:56" ht="13.5" thickBot="1" x14ac:dyDescent="0.35">
      <c r="A565" t="s">
        <v>275</v>
      </c>
      <c r="D565" s="8" t="s">
        <v>10</v>
      </c>
      <c r="E565" s="12">
        <v>62354.17</v>
      </c>
      <c r="F565" s="12">
        <v>62354.17</v>
      </c>
      <c r="G565" s="12">
        <v>62354.17</v>
      </c>
      <c r="H565" s="12">
        <v>62354.17</v>
      </c>
      <c r="I565" s="12">
        <v>62354.15</v>
      </c>
      <c r="J565" s="12">
        <v>62354.17</v>
      </c>
      <c r="K565" s="12">
        <v>62354.17</v>
      </c>
      <c r="L565" s="12">
        <v>62354.17</v>
      </c>
      <c r="M565" s="12">
        <v>62354.17</v>
      </c>
      <c r="N565" s="12">
        <v>62354.17</v>
      </c>
      <c r="O565" s="12">
        <v>62354.15</v>
      </c>
      <c r="P565" s="11">
        <f>21666.67+62354.17</f>
        <v>84020.84</v>
      </c>
      <c r="Q565" s="12">
        <f>SUM(E565:P565)</f>
        <v>769916.67</v>
      </c>
      <c r="R565" s="11">
        <f t="shared" ref="R565:AA565" si="443">21666.67+62354.17</f>
        <v>84020.84</v>
      </c>
      <c r="S565" s="11">
        <f t="shared" si="443"/>
        <v>84020.84</v>
      </c>
      <c r="T565" s="11">
        <f t="shared" si="443"/>
        <v>84020.84</v>
      </c>
      <c r="U565" s="11">
        <f t="shared" si="443"/>
        <v>84020.84</v>
      </c>
      <c r="V565" s="11">
        <f>21666.67+62354.15</f>
        <v>84020.82</v>
      </c>
      <c r="W565" s="11">
        <f t="shared" si="443"/>
        <v>84020.84</v>
      </c>
      <c r="X565" s="11">
        <f t="shared" si="443"/>
        <v>84020.84</v>
      </c>
      <c r="Y565" s="11">
        <f t="shared" si="443"/>
        <v>84020.84</v>
      </c>
      <c r="Z565" s="11">
        <f t="shared" si="443"/>
        <v>84020.84</v>
      </c>
      <c r="AA565" s="11">
        <f t="shared" si="443"/>
        <v>84020.84</v>
      </c>
      <c r="AB565" s="11">
        <f>21666.63+62354.15</f>
        <v>84020.78</v>
      </c>
      <c r="AC565" s="11">
        <f>22500+61291.67</f>
        <v>83791.67</v>
      </c>
      <c r="AD565" s="12">
        <f>SUM(R565:AC565)</f>
        <v>1008020.83</v>
      </c>
      <c r="AE565" s="11">
        <f t="shared" ref="AE565:AN565" si="444">22500+61291.67</f>
        <v>83791.67</v>
      </c>
      <c r="AF565" s="11">
        <f t="shared" si="444"/>
        <v>83791.67</v>
      </c>
      <c r="AG565" s="11">
        <f t="shared" si="444"/>
        <v>83791.67</v>
      </c>
      <c r="AH565" s="11">
        <f t="shared" si="444"/>
        <v>83791.67</v>
      </c>
      <c r="AI565" s="11">
        <f>22500+61291.65</f>
        <v>83791.649999999994</v>
      </c>
      <c r="AJ565" s="11">
        <f t="shared" si="444"/>
        <v>83791.67</v>
      </c>
      <c r="AK565" s="11">
        <f t="shared" si="444"/>
        <v>83791.67</v>
      </c>
      <c r="AL565" s="11">
        <f t="shared" si="444"/>
        <v>83791.67</v>
      </c>
      <c r="AM565" s="11">
        <f t="shared" si="444"/>
        <v>83791.67</v>
      </c>
      <c r="AN565" s="11">
        <f t="shared" si="444"/>
        <v>83791.67</v>
      </c>
      <c r="AO565" s="11">
        <f>22500+61291.65</f>
        <v>83791.649999999994</v>
      </c>
      <c r="AP565" s="12">
        <f>23750+60166.67</f>
        <v>83916.67</v>
      </c>
      <c r="AQ565" s="3">
        <f>SUM(AE565:AP565)</f>
        <v>1005625.0000000001</v>
      </c>
      <c r="AR565" s="3">
        <f>23750+60166.67</f>
        <v>83916.67</v>
      </c>
      <c r="AS565" s="3">
        <f t="shared" ref="AS565:AU565" si="445">23750+60166.67</f>
        <v>83916.67</v>
      </c>
      <c r="AT565" s="3">
        <f t="shared" si="445"/>
        <v>83916.67</v>
      </c>
      <c r="AU565" s="3">
        <f t="shared" si="445"/>
        <v>83916.67</v>
      </c>
      <c r="AV565" s="3">
        <f>23750+60166.65</f>
        <v>83916.65</v>
      </c>
      <c r="AW565" s="3">
        <f>23750+60166.67</f>
        <v>83916.67</v>
      </c>
      <c r="AX565" s="3">
        <f t="shared" ref="AX565:BA565" si="446">23750+60166.67</f>
        <v>83916.67</v>
      </c>
      <c r="AY565" s="3">
        <f t="shared" si="446"/>
        <v>83916.67</v>
      </c>
      <c r="AZ565" s="3">
        <f t="shared" si="446"/>
        <v>83916.67</v>
      </c>
      <c r="BA565" s="3">
        <f t="shared" si="446"/>
        <v>83916.67</v>
      </c>
      <c r="BB565" s="3">
        <f>23750+60166.65</f>
        <v>83916.65</v>
      </c>
      <c r="BC565" s="3">
        <f>24583.33+58979.17</f>
        <v>83562.5</v>
      </c>
      <c r="BD565" s="3">
        <f>SUM(AR565:BC565)</f>
        <v>1006645.8300000001</v>
      </c>
    </row>
    <row r="566" spans="1:56" ht="13.5" thickBot="1" x14ac:dyDescent="0.35">
      <c r="D566" s="13" t="s">
        <v>276</v>
      </c>
      <c r="E566" s="14">
        <f t="shared" ref="E566:P566" si="447">SUM(E563:E565)</f>
        <v>63851.67</v>
      </c>
      <c r="F566" s="14">
        <f t="shared" si="447"/>
        <v>63601.67</v>
      </c>
      <c r="G566" s="14">
        <f t="shared" si="447"/>
        <v>63601.67</v>
      </c>
      <c r="H566" s="14">
        <f t="shared" si="447"/>
        <v>63601.67</v>
      </c>
      <c r="I566" s="14">
        <f t="shared" si="447"/>
        <v>63601.65</v>
      </c>
      <c r="J566" s="14">
        <f t="shared" si="447"/>
        <v>63601.67</v>
      </c>
      <c r="K566" s="14">
        <f t="shared" si="447"/>
        <v>63601.67</v>
      </c>
      <c r="L566" s="14">
        <f t="shared" si="447"/>
        <v>63601.67</v>
      </c>
      <c r="M566" s="14">
        <f t="shared" si="447"/>
        <v>63601.67</v>
      </c>
      <c r="N566" s="14">
        <f t="shared" si="447"/>
        <v>63601.67</v>
      </c>
      <c r="O566" s="14">
        <f t="shared" si="447"/>
        <v>63601.65</v>
      </c>
      <c r="P566" s="14">
        <f t="shared" si="447"/>
        <v>85268.34</v>
      </c>
      <c r="Q566" s="14">
        <f>SUM(Q563:Q565)</f>
        <v>785136.67</v>
      </c>
      <c r="R566" s="14">
        <f t="shared" ref="R566:AC566" si="448">SUM(R563:R565)</f>
        <v>85518.34</v>
      </c>
      <c r="S566" s="14">
        <f t="shared" si="448"/>
        <v>85268.34</v>
      </c>
      <c r="T566" s="14">
        <f t="shared" si="448"/>
        <v>85268.34</v>
      </c>
      <c r="U566" s="14">
        <f t="shared" si="448"/>
        <v>85268.34</v>
      </c>
      <c r="V566" s="14">
        <f t="shared" si="448"/>
        <v>85268.32</v>
      </c>
      <c r="W566" s="14">
        <f t="shared" si="448"/>
        <v>85268.34</v>
      </c>
      <c r="X566" s="14">
        <f t="shared" si="448"/>
        <v>85268.34</v>
      </c>
      <c r="Y566" s="14">
        <f t="shared" si="448"/>
        <v>85268.34</v>
      </c>
      <c r="Z566" s="14">
        <f t="shared" si="448"/>
        <v>85268.34</v>
      </c>
      <c r="AA566" s="14">
        <f t="shared" si="448"/>
        <v>85268.34</v>
      </c>
      <c r="AB566" s="14">
        <f t="shared" si="448"/>
        <v>85268.28</v>
      </c>
      <c r="AC566" s="14">
        <f t="shared" si="448"/>
        <v>85017.5</v>
      </c>
      <c r="AD566" s="14">
        <f>SUM(AD563:AD565)</f>
        <v>1023219.1599999999</v>
      </c>
      <c r="AE566" s="14">
        <f>SUM(AE563:AE565)</f>
        <v>85267.5</v>
      </c>
      <c r="AF566" s="14">
        <f>SUM(AF563:AF565)</f>
        <v>85017.5</v>
      </c>
      <c r="AG566" s="14">
        <f t="shared" ref="AG566:AP566" si="449">SUM(AG563:AG565)</f>
        <v>85017.5</v>
      </c>
      <c r="AH566" s="14">
        <f t="shared" si="449"/>
        <v>85017.5</v>
      </c>
      <c r="AI566" s="14">
        <f t="shared" si="449"/>
        <v>85017.48</v>
      </c>
      <c r="AJ566" s="14">
        <f t="shared" si="449"/>
        <v>85017.5</v>
      </c>
      <c r="AK566" s="14">
        <f t="shared" si="449"/>
        <v>85017.5</v>
      </c>
      <c r="AL566" s="14">
        <f t="shared" si="449"/>
        <v>85017.5</v>
      </c>
      <c r="AM566" s="14">
        <f t="shared" si="449"/>
        <v>85017.5</v>
      </c>
      <c r="AN566" s="14">
        <f t="shared" si="449"/>
        <v>85017.5</v>
      </c>
      <c r="AO566" s="14">
        <f t="shared" si="449"/>
        <v>85017.48</v>
      </c>
      <c r="AP566" s="14">
        <f t="shared" si="449"/>
        <v>85120</v>
      </c>
      <c r="AQ566" s="22">
        <f>SUM(AQ563:AQ565)</f>
        <v>1020562.4600000001</v>
      </c>
      <c r="AR566" s="22">
        <f t="shared" ref="AR566:BD566" si="450">SUM(AR563:AR565)</f>
        <v>85370</v>
      </c>
      <c r="AS566" s="22">
        <f t="shared" si="450"/>
        <v>85120</v>
      </c>
      <c r="AT566" s="22">
        <f t="shared" si="450"/>
        <v>85120</v>
      </c>
      <c r="AU566" s="22">
        <f t="shared" si="450"/>
        <v>85120</v>
      </c>
      <c r="AV566" s="22">
        <f t="shared" si="450"/>
        <v>85119.98</v>
      </c>
      <c r="AW566" s="22">
        <f t="shared" si="450"/>
        <v>85120</v>
      </c>
      <c r="AX566" s="22">
        <f t="shared" si="450"/>
        <v>85120</v>
      </c>
      <c r="AY566" s="22">
        <f t="shared" si="450"/>
        <v>85120</v>
      </c>
      <c r="AZ566" s="22">
        <f t="shared" si="450"/>
        <v>85120</v>
      </c>
      <c r="BA566" s="22">
        <f t="shared" si="450"/>
        <v>85120</v>
      </c>
      <c r="BB566" s="22">
        <f t="shared" si="450"/>
        <v>85119.98</v>
      </c>
      <c r="BC566" s="22">
        <f t="shared" si="450"/>
        <v>84742.080000000002</v>
      </c>
      <c r="BD566" s="22">
        <f t="shared" si="450"/>
        <v>1021312.04</v>
      </c>
    </row>
    <row r="567" spans="1:56" x14ac:dyDescent="0.3">
      <c r="D567" s="15"/>
    </row>
    <row r="568" spans="1:56" ht="15.5" x14ac:dyDescent="0.35">
      <c r="B568" s="20">
        <f>+B562+1</f>
        <v>62</v>
      </c>
      <c r="C568" s="1" t="s">
        <v>14</v>
      </c>
      <c r="D568" s="25" t="s">
        <v>277</v>
      </c>
    </row>
    <row r="569" spans="1:56" x14ac:dyDescent="0.3">
      <c r="D569" s="8" t="s">
        <v>8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f>SUM(E569:P569)</f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f>SUM(R569:AC569)</f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0</v>
      </c>
      <c r="AK569" s="12">
        <v>0</v>
      </c>
      <c r="AL569" s="12">
        <v>0</v>
      </c>
      <c r="AM569" s="12">
        <v>0</v>
      </c>
      <c r="AN569" s="12">
        <v>0</v>
      </c>
      <c r="AO569" s="12">
        <v>0</v>
      </c>
      <c r="AP569" s="12">
        <v>0</v>
      </c>
      <c r="AQ569" s="3">
        <f>SUM(AE569:AP569)</f>
        <v>0</v>
      </c>
      <c r="AR569" s="3">
        <v>0</v>
      </c>
      <c r="AS569" s="3">
        <v>0</v>
      </c>
      <c r="AT569" s="3">
        <v>0</v>
      </c>
      <c r="AU569" s="3">
        <v>0</v>
      </c>
      <c r="AV569" s="3">
        <v>0</v>
      </c>
      <c r="AW569" s="3">
        <v>0</v>
      </c>
      <c r="AX569" s="3">
        <v>0</v>
      </c>
      <c r="AY569" s="3">
        <v>0</v>
      </c>
      <c r="AZ569" s="3">
        <v>0</v>
      </c>
      <c r="BA569" s="3">
        <v>0</v>
      </c>
      <c r="BB569" s="3">
        <v>0</v>
      </c>
      <c r="BC569" s="3">
        <v>0</v>
      </c>
      <c r="BD569" s="3">
        <f>SUM(AR569:BC569)</f>
        <v>0</v>
      </c>
    </row>
    <row r="570" spans="1:56" x14ac:dyDescent="0.3">
      <c r="D570" s="8" t="s">
        <v>9</v>
      </c>
      <c r="E570" s="11">
        <v>250</v>
      </c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2">
        <f>SUM(E570:P570)</f>
        <v>250</v>
      </c>
      <c r="R570" s="11">
        <v>250</v>
      </c>
      <c r="AD570" s="12">
        <f>SUM(R570:AC570)</f>
        <v>250</v>
      </c>
      <c r="AE570" s="11">
        <v>250</v>
      </c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3">
        <f>SUM(AE570:AP570)</f>
        <v>250</v>
      </c>
      <c r="AR570" s="3">
        <v>250</v>
      </c>
      <c r="AS570" s="3">
        <v>0</v>
      </c>
      <c r="AT570" s="3">
        <v>0</v>
      </c>
      <c r="AU570" s="3">
        <v>0</v>
      </c>
      <c r="AV570" s="3">
        <v>0</v>
      </c>
      <c r="AW570" s="3">
        <v>0</v>
      </c>
      <c r="AX570" s="3">
        <v>0</v>
      </c>
      <c r="AY570" s="3">
        <v>0</v>
      </c>
      <c r="AZ570" s="3">
        <v>0</v>
      </c>
      <c r="BA570" s="3">
        <v>0</v>
      </c>
      <c r="BB570" s="3">
        <v>0</v>
      </c>
      <c r="BC570" s="3">
        <v>0</v>
      </c>
      <c r="BD570" s="3">
        <f>SUM(AR570:BC570)</f>
        <v>250</v>
      </c>
    </row>
    <row r="571" spans="1:56" ht="13.5" thickBot="1" x14ac:dyDescent="0.35">
      <c r="A571" t="s">
        <v>278</v>
      </c>
      <c r="D571" s="8" t="s">
        <v>10</v>
      </c>
      <c r="E571" s="12">
        <f t="shared" ref="E571:N571" si="451">107473.96-28545.03</f>
        <v>78928.930000000008</v>
      </c>
      <c r="F571" s="12">
        <f t="shared" si="451"/>
        <v>78928.930000000008</v>
      </c>
      <c r="G571" s="12">
        <f t="shared" si="451"/>
        <v>78928.930000000008</v>
      </c>
      <c r="H571" s="12">
        <f t="shared" si="451"/>
        <v>78928.930000000008</v>
      </c>
      <c r="I571" s="12">
        <f t="shared" si="451"/>
        <v>78928.930000000008</v>
      </c>
      <c r="J571" s="12">
        <f t="shared" si="451"/>
        <v>78928.930000000008</v>
      </c>
      <c r="K571" s="12">
        <f t="shared" si="451"/>
        <v>78928.930000000008</v>
      </c>
      <c r="L571" s="12">
        <f t="shared" si="451"/>
        <v>78928.930000000008</v>
      </c>
      <c r="M571" s="12">
        <f t="shared" si="451"/>
        <v>78928.930000000008</v>
      </c>
      <c r="N571" s="12">
        <f t="shared" si="451"/>
        <v>78928.930000000008</v>
      </c>
      <c r="O571" s="12">
        <f>107473.94-28545.13</f>
        <v>78928.81</v>
      </c>
      <c r="P571" s="11">
        <f>107473.96-7392.5</f>
        <v>100081.46</v>
      </c>
      <c r="Q571" s="12">
        <f>SUM(E571:P571)</f>
        <v>968299.57000000007</v>
      </c>
      <c r="R571" s="11">
        <f t="shared" ref="R571:AA571" si="452">107473.96-7392.5</f>
        <v>100081.46</v>
      </c>
      <c r="S571" s="11">
        <f t="shared" si="452"/>
        <v>100081.46</v>
      </c>
      <c r="T571" s="11">
        <f t="shared" si="452"/>
        <v>100081.46</v>
      </c>
      <c r="U571" s="11">
        <f t="shared" si="452"/>
        <v>100081.46</v>
      </c>
      <c r="V571" s="11">
        <f t="shared" si="452"/>
        <v>100081.46</v>
      </c>
      <c r="W571" s="11">
        <f t="shared" si="452"/>
        <v>100081.46</v>
      </c>
      <c r="X571" s="11">
        <f t="shared" si="452"/>
        <v>100081.46</v>
      </c>
      <c r="Y571" s="11">
        <f t="shared" si="452"/>
        <v>100081.46</v>
      </c>
      <c r="Z571" s="11">
        <f t="shared" si="452"/>
        <v>100081.46</v>
      </c>
      <c r="AA571" s="11">
        <f t="shared" si="452"/>
        <v>100081.46</v>
      </c>
      <c r="AB571" s="11">
        <f>107473.94-7392.56</f>
        <v>100081.38</v>
      </c>
      <c r="AC571" s="11">
        <f>107473.96-3060.25</f>
        <v>104413.71</v>
      </c>
      <c r="AD571" s="12">
        <f>SUM(R571:AC571)</f>
        <v>1205309.69</v>
      </c>
      <c r="AE571" s="11">
        <f t="shared" ref="AE571:AN571" si="453">107473.96-3060.25</f>
        <v>104413.71</v>
      </c>
      <c r="AF571" s="11">
        <f t="shared" si="453"/>
        <v>104413.71</v>
      </c>
      <c r="AG571" s="11">
        <f t="shared" si="453"/>
        <v>104413.71</v>
      </c>
      <c r="AH571" s="11">
        <f t="shared" si="453"/>
        <v>104413.71</v>
      </c>
      <c r="AI571" s="11">
        <f t="shared" si="453"/>
        <v>104413.71</v>
      </c>
      <c r="AJ571" s="11">
        <f t="shared" si="453"/>
        <v>104413.71</v>
      </c>
      <c r="AK571" s="11">
        <f t="shared" si="453"/>
        <v>104413.71</v>
      </c>
      <c r="AL571" s="11">
        <f t="shared" si="453"/>
        <v>104413.71</v>
      </c>
      <c r="AM571" s="11">
        <f t="shared" si="453"/>
        <v>104413.71</v>
      </c>
      <c r="AN571" s="11">
        <f t="shared" si="453"/>
        <v>104413.71</v>
      </c>
      <c r="AO571" s="11">
        <f>107473.94-3060.27</f>
        <v>104413.67</v>
      </c>
      <c r="AP571" s="11">
        <f>107473.96</f>
        <v>107473.96</v>
      </c>
      <c r="AQ571" s="3">
        <f>SUM(AE571:AP571)</f>
        <v>1256024.7299999997</v>
      </c>
      <c r="AR571" s="3">
        <v>107473.96</v>
      </c>
      <c r="AS571" s="3">
        <v>107473.96</v>
      </c>
      <c r="AT571" s="3">
        <v>107473.96</v>
      </c>
      <c r="AU571" s="3">
        <v>107473.96</v>
      </c>
      <c r="AV571" s="3">
        <v>107473.96</v>
      </c>
      <c r="AW571" s="3">
        <v>107473.96</v>
      </c>
      <c r="AX571" s="3">
        <v>107473.96</v>
      </c>
      <c r="AY571" s="3">
        <v>107473.96</v>
      </c>
      <c r="AZ571" s="3">
        <v>107473.96</v>
      </c>
      <c r="BA571" s="3">
        <v>107473.96</v>
      </c>
      <c r="BB571" s="3">
        <v>107473.94</v>
      </c>
      <c r="BC571" s="3">
        <f>17916.67+107473.96</f>
        <v>125390.63</v>
      </c>
      <c r="BD571" s="3">
        <f>SUM(AR571:BC571)</f>
        <v>1307604.17</v>
      </c>
    </row>
    <row r="572" spans="1:56" ht="13.5" thickBot="1" x14ac:dyDescent="0.35">
      <c r="D572" s="13" t="s">
        <v>279</v>
      </c>
      <c r="E572" s="14">
        <f t="shared" ref="E572:P572" si="454">SUM(E569:E571)</f>
        <v>79178.930000000008</v>
      </c>
      <c r="F572" s="14">
        <f t="shared" si="454"/>
        <v>78928.930000000008</v>
      </c>
      <c r="G572" s="14">
        <f t="shared" si="454"/>
        <v>78928.930000000008</v>
      </c>
      <c r="H572" s="14">
        <f t="shared" si="454"/>
        <v>78928.930000000008</v>
      </c>
      <c r="I572" s="14">
        <f t="shared" si="454"/>
        <v>78928.930000000008</v>
      </c>
      <c r="J572" s="14">
        <f t="shared" si="454"/>
        <v>78928.930000000008</v>
      </c>
      <c r="K572" s="14">
        <f t="shared" si="454"/>
        <v>78928.930000000008</v>
      </c>
      <c r="L572" s="14">
        <f t="shared" si="454"/>
        <v>78928.930000000008</v>
      </c>
      <c r="M572" s="14">
        <f t="shared" si="454"/>
        <v>78928.930000000008</v>
      </c>
      <c r="N572" s="14">
        <f t="shared" si="454"/>
        <v>78928.930000000008</v>
      </c>
      <c r="O572" s="14">
        <f t="shared" si="454"/>
        <v>78928.81</v>
      </c>
      <c r="P572" s="14">
        <f t="shared" si="454"/>
        <v>100081.46</v>
      </c>
      <c r="Q572" s="14">
        <f>SUM(Q569:Q571)</f>
        <v>968549.57000000007</v>
      </c>
      <c r="R572" s="14">
        <f t="shared" ref="R572:AC572" si="455">SUM(R569:R571)</f>
        <v>100331.46</v>
      </c>
      <c r="S572" s="14">
        <f t="shared" si="455"/>
        <v>100081.46</v>
      </c>
      <c r="T572" s="14">
        <f t="shared" si="455"/>
        <v>100081.46</v>
      </c>
      <c r="U572" s="14">
        <f t="shared" si="455"/>
        <v>100081.46</v>
      </c>
      <c r="V572" s="14">
        <f t="shared" si="455"/>
        <v>100081.46</v>
      </c>
      <c r="W572" s="14">
        <f t="shared" si="455"/>
        <v>100081.46</v>
      </c>
      <c r="X572" s="14">
        <f t="shared" si="455"/>
        <v>100081.46</v>
      </c>
      <c r="Y572" s="14">
        <f t="shared" si="455"/>
        <v>100081.46</v>
      </c>
      <c r="Z572" s="14">
        <f t="shared" si="455"/>
        <v>100081.46</v>
      </c>
      <c r="AA572" s="14">
        <f t="shared" si="455"/>
        <v>100081.46</v>
      </c>
      <c r="AB572" s="14">
        <f t="shared" si="455"/>
        <v>100081.38</v>
      </c>
      <c r="AC572" s="14">
        <f t="shared" si="455"/>
        <v>104413.71</v>
      </c>
      <c r="AD572" s="14">
        <f>SUM(AD569:AD571)</f>
        <v>1205559.69</v>
      </c>
      <c r="AE572" s="14">
        <f>SUM(AE569:AE571)</f>
        <v>104663.71</v>
      </c>
      <c r="AF572" s="14">
        <f>SUM(AF569:AF571)</f>
        <v>104413.71</v>
      </c>
      <c r="AG572" s="14">
        <f t="shared" ref="AG572:AP572" si="456">SUM(AG569:AG571)</f>
        <v>104413.71</v>
      </c>
      <c r="AH572" s="14">
        <f t="shared" si="456"/>
        <v>104413.71</v>
      </c>
      <c r="AI572" s="14">
        <f t="shared" si="456"/>
        <v>104413.71</v>
      </c>
      <c r="AJ572" s="14">
        <f t="shared" si="456"/>
        <v>104413.71</v>
      </c>
      <c r="AK572" s="14">
        <f t="shared" si="456"/>
        <v>104413.71</v>
      </c>
      <c r="AL572" s="14">
        <f t="shared" si="456"/>
        <v>104413.71</v>
      </c>
      <c r="AM572" s="14">
        <f t="shared" si="456"/>
        <v>104413.71</v>
      </c>
      <c r="AN572" s="14">
        <f t="shared" si="456"/>
        <v>104413.71</v>
      </c>
      <c r="AO572" s="14">
        <f t="shared" si="456"/>
        <v>104413.67</v>
      </c>
      <c r="AP572" s="14">
        <f t="shared" si="456"/>
        <v>107473.96</v>
      </c>
      <c r="AQ572" s="22">
        <f>SUM(AQ569:AQ571)</f>
        <v>1256274.7299999997</v>
      </c>
      <c r="AR572" s="22">
        <f t="shared" ref="AR572:BD572" si="457">SUM(AR569:AR571)</f>
        <v>107723.96</v>
      </c>
      <c r="AS572" s="22">
        <f t="shared" si="457"/>
        <v>107473.96</v>
      </c>
      <c r="AT572" s="22">
        <f t="shared" si="457"/>
        <v>107473.96</v>
      </c>
      <c r="AU572" s="22">
        <f t="shared" si="457"/>
        <v>107473.96</v>
      </c>
      <c r="AV572" s="22">
        <f t="shared" si="457"/>
        <v>107473.96</v>
      </c>
      <c r="AW572" s="22">
        <f t="shared" si="457"/>
        <v>107473.96</v>
      </c>
      <c r="AX572" s="22">
        <f t="shared" si="457"/>
        <v>107473.96</v>
      </c>
      <c r="AY572" s="22">
        <f t="shared" si="457"/>
        <v>107473.96</v>
      </c>
      <c r="AZ572" s="22">
        <f t="shared" si="457"/>
        <v>107473.96</v>
      </c>
      <c r="BA572" s="22">
        <f t="shared" si="457"/>
        <v>107473.96</v>
      </c>
      <c r="BB572" s="22">
        <f t="shared" si="457"/>
        <v>107473.94</v>
      </c>
      <c r="BC572" s="22">
        <f t="shared" si="457"/>
        <v>125390.63</v>
      </c>
      <c r="BD572" s="22">
        <f t="shared" si="457"/>
        <v>1307854.17</v>
      </c>
    </row>
    <row r="573" spans="1:56" x14ac:dyDescent="0.3">
      <c r="D573" s="15"/>
    </row>
    <row r="574" spans="1:56" ht="15.5" x14ac:dyDescent="0.35">
      <c r="B574" s="20">
        <f>+B568+1</f>
        <v>63</v>
      </c>
      <c r="C574" s="1" t="s">
        <v>14</v>
      </c>
      <c r="D574" s="25" t="s">
        <v>280</v>
      </c>
    </row>
    <row r="575" spans="1:56" x14ac:dyDescent="0.3">
      <c r="D575" s="8" t="s">
        <v>8</v>
      </c>
      <c r="E575" s="11">
        <v>604.58000000000004</v>
      </c>
      <c r="F575" s="11">
        <v>604.58000000000004</v>
      </c>
      <c r="G575" s="11">
        <v>604.58000000000004</v>
      </c>
      <c r="H575" s="11">
        <v>604.58000000000004</v>
      </c>
      <c r="I575" s="11">
        <v>604.58000000000004</v>
      </c>
      <c r="J575" s="11">
        <v>604.58000000000004</v>
      </c>
      <c r="K575" s="11">
        <v>604.58000000000004</v>
      </c>
      <c r="L575" s="11">
        <v>604.58000000000004</v>
      </c>
      <c r="M575" s="11">
        <v>604.58000000000004</v>
      </c>
      <c r="N575" s="11">
        <v>604.58000000000004</v>
      </c>
      <c r="O575" s="11">
        <v>604.58000000000004</v>
      </c>
      <c r="P575" s="11">
        <v>604.58000000000004</v>
      </c>
      <c r="Q575" s="12">
        <f>SUM(E575:P575)</f>
        <v>7254.96</v>
      </c>
      <c r="R575" s="11">
        <v>604.58000000000004</v>
      </c>
      <c r="S575" s="11">
        <v>604.58000000000004</v>
      </c>
      <c r="T575" s="11">
        <v>604.58000000000004</v>
      </c>
      <c r="U575" s="11">
        <v>604.58000000000004</v>
      </c>
      <c r="V575" s="11">
        <v>604.58000000000004</v>
      </c>
      <c r="W575" s="11">
        <v>604.58000000000004</v>
      </c>
      <c r="X575" s="11">
        <v>604.58000000000004</v>
      </c>
      <c r="Y575" s="11">
        <v>604.58000000000004</v>
      </c>
      <c r="Z575" s="11">
        <v>604.58000000000004</v>
      </c>
      <c r="AA575" s="11">
        <v>604.58000000000004</v>
      </c>
      <c r="AB575" s="11">
        <v>604.58000000000004</v>
      </c>
      <c r="AC575" s="11">
        <v>604.58000000000004</v>
      </c>
      <c r="AD575" s="12">
        <f>SUM(R575:AC575)</f>
        <v>7254.96</v>
      </c>
      <c r="AE575" s="12">
        <v>589.58000000000004</v>
      </c>
      <c r="AF575" s="12">
        <v>589.58000000000004</v>
      </c>
      <c r="AG575" s="12">
        <v>589.58000000000004</v>
      </c>
      <c r="AH575" s="12">
        <v>589.58000000000004</v>
      </c>
      <c r="AI575" s="12">
        <v>589.58000000000004</v>
      </c>
      <c r="AJ575" s="12">
        <v>589.58000000000004</v>
      </c>
      <c r="AK575" s="12">
        <v>589.58000000000004</v>
      </c>
      <c r="AL575" s="12">
        <v>589.58000000000004</v>
      </c>
      <c r="AM575" s="12">
        <v>589.58000000000004</v>
      </c>
      <c r="AN575" s="12">
        <v>589.58000000000004</v>
      </c>
      <c r="AO575" s="12">
        <v>589.58000000000004</v>
      </c>
      <c r="AP575" s="12">
        <v>589.58000000000004</v>
      </c>
      <c r="AQ575" s="3">
        <f>SUM(AE575:AP575)</f>
        <v>7074.96</v>
      </c>
      <c r="AR575" s="3">
        <v>574.16999999999996</v>
      </c>
      <c r="AS575" s="3">
        <v>574.16999999999996</v>
      </c>
      <c r="AT575" s="3">
        <v>574.16999999999996</v>
      </c>
      <c r="AU575" s="3">
        <v>574.16999999999996</v>
      </c>
      <c r="AV575" s="3">
        <v>574.16999999999996</v>
      </c>
      <c r="AW575" s="3">
        <v>574.16999999999996</v>
      </c>
      <c r="AX575" s="3">
        <v>574.16999999999996</v>
      </c>
      <c r="AY575" s="3">
        <v>574.16999999999996</v>
      </c>
      <c r="AZ575" s="3">
        <v>574.16999999999996</v>
      </c>
      <c r="BA575" s="3">
        <v>574.16999999999996</v>
      </c>
      <c r="BB575" s="3">
        <v>574.16999999999996</v>
      </c>
      <c r="BC575" s="3">
        <v>574.16999999999996</v>
      </c>
      <c r="BD575" s="3">
        <f>SUM(AR575:BC575)</f>
        <v>6890.04</v>
      </c>
    </row>
    <row r="576" spans="1:56" x14ac:dyDescent="0.3">
      <c r="D576" s="8" t="s">
        <v>9</v>
      </c>
      <c r="E576" s="11">
        <v>250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2">
        <f>SUM(E576:P576)</f>
        <v>250</v>
      </c>
      <c r="R576" s="11">
        <v>250</v>
      </c>
      <c r="AD576" s="12">
        <f>SUM(R576:AC576)</f>
        <v>250</v>
      </c>
      <c r="AE576" s="11">
        <v>250</v>
      </c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3">
        <f>SUM(AE576:AP576)</f>
        <v>250</v>
      </c>
      <c r="AR576" s="3">
        <v>250</v>
      </c>
      <c r="AS576" s="3">
        <v>0</v>
      </c>
      <c r="AT576" s="3">
        <v>0</v>
      </c>
      <c r="AU576" s="3">
        <v>0</v>
      </c>
      <c r="AV576" s="3">
        <v>0</v>
      </c>
      <c r="AW576" s="3">
        <v>0</v>
      </c>
      <c r="AX576" s="3">
        <v>0</v>
      </c>
      <c r="AY576" s="3">
        <v>0</v>
      </c>
      <c r="AZ576" s="3">
        <v>0</v>
      </c>
      <c r="BA576" s="3">
        <v>0</v>
      </c>
      <c r="BB576" s="3">
        <v>0</v>
      </c>
      <c r="BC576" s="3">
        <v>0</v>
      </c>
      <c r="BD576" s="3">
        <f>SUM(AR576:BC576)</f>
        <v>250</v>
      </c>
    </row>
    <row r="577" spans="1:56" ht="13.5" thickBot="1" x14ac:dyDescent="0.35">
      <c r="A577" t="s">
        <v>281</v>
      </c>
      <c r="D577" s="8" t="s">
        <v>10</v>
      </c>
      <c r="E577" s="12">
        <v>15313.54</v>
      </c>
      <c r="F577" s="12">
        <v>15313.55</v>
      </c>
      <c r="G577" s="11">
        <f>15000+15313.54</f>
        <v>30313.54</v>
      </c>
      <c r="H577" s="11">
        <f t="shared" ref="H577:R577" si="458">15000+15313.54</f>
        <v>30313.54</v>
      </c>
      <c r="I577" s="11">
        <f t="shared" si="458"/>
        <v>30313.54</v>
      </c>
      <c r="J577" s="11">
        <f t="shared" si="458"/>
        <v>30313.54</v>
      </c>
      <c r="K577" s="11">
        <f t="shared" si="458"/>
        <v>30313.54</v>
      </c>
      <c r="L577" s="11">
        <f>15000+15313.55</f>
        <v>30313.55</v>
      </c>
      <c r="M577" s="11">
        <f t="shared" si="458"/>
        <v>30313.54</v>
      </c>
      <c r="N577" s="11">
        <f t="shared" si="458"/>
        <v>30313.54</v>
      </c>
      <c r="O577" s="11">
        <f t="shared" si="458"/>
        <v>30313.54</v>
      </c>
      <c r="P577" s="11">
        <f t="shared" si="458"/>
        <v>30313.54</v>
      </c>
      <c r="Q577" s="12">
        <f>SUM(E577:P577)</f>
        <v>333762.5</v>
      </c>
      <c r="R577" s="11">
        <f t="shared" si="458"/>
        <v>30313.54</v>
      </c>
      <c r="S577" s="11">
        <f>15000+15313.55</f>
        <v>30313.55</v>
      </c>
      <c r="T577" s="11">
        <f>15416.67+14788.54</f>
        <v>30205.21</v>
      </c>
      <c r="U577" s="11">
        <f t="shared" ref="U577:AE577" si="459">15416.67+14788.54</f>
        <v>30205.21</v>
      </c>
      <c r="V577" s="11">
        <f t="shared" si="459"/>
        <v>30205.21</v>
      </c>
      <c r="W577" s="11">
        <f t="shared" si="459"/>
        <v>30205.21</v>
      </c>
      <c r="X577" s="11">
        <f t="shared" si="459"/>
        <v>30205.21</v>
      </c>
      <c r="Y577" s="11">
        <f>15416.67+14788.55</f>
        <v>30205.22</v>
      </c>
      <c r="Z577" s="11">
        <f t="shared" si="459"/>
        <v>30205.21</v>
      </c>
      <c r="AA577" s="11">
        <f t="shared" si="459"/>
        <v>30205.21</v>
      </c>
      <c r="AB577" s="11">
        <f t="shared" si="459"/>
        <v>30205.21</v>
      </c>
      <c r="AC577" s="11">
        <f t="shared" si="459"/>
        <v>30205.21</v>
      </c>
      <c r="AD577" s="12">
        <f>SUM(R577:AC577)</f>
        <v>362679.2</v>
      </c>
      <c r="AE577" s="11">
        <f t="shared" si="459"/>
        <v>30205.21</v>
      </c>
      <c r="AF577" s="11">
        <f>15416.63+14788.55</f>
        <v>30205.18</v>
      </c>
      <c r="AG577" s="12">
        <f>15416.67+14480.21</f>
        <v>29896.879999999997</v>
      </c>
      <c r="AH577" s="12">
        <f t="shared" ref="AH577:AP577" si="460">15416.67+14480.21</f>
        <v>29896.879999999997</v>
      </c>
      <c r="AI577" s="12">
        <f t="shared" si="460"/>
        <v>29896.879999999997</v>
      </c>
      <c r="AJ577" s="12">
        <f t="shared" si="460"/>
        <v>29896.879999999997</v>
      </c>
      <c r="AK577" s="12">
        <f t="shared" si="460"/>
        <v>29896.879999999997</v>
      </c>
      <c r="AL577" s="12">
        <f>15416.67+14480.2</f>
        <v>29896.870000000003</v>
      </c>
      <c r="AM577" s="12">
        <f t="shared" si="460"/>
        <v>29896.879999999997</v>
      </c>
      <c r="AN577" s="12">
        <f t="shared" si="460"/>
        <v>29896.879999999997</v>
      </c>
      <c r="AO577" s="12">
        <f t="shared" si="460"/>
        <v>29896.879999999997</v>
      </c>
      <c r="AP577" s="12">
        <f t="shared" si="460"/>
        <v>29896.879999999997</v>
      </c>
      <c r="AQ577" s="3">
        <f>SUM(AE577:AP577)</f>
        <v>359379.18</v>
      </c>
      <c r="AR577" s="3">
        <f>15416.67+14480.21</f>
        <v>29896.879999999997</v>
      </c>
      <c r="AS577" s="3">
        <f>15416.63+14480.2</f>
        <v>29896.83</v>
      </c>
      <c r="AT577" s="3">
        <f>15833.33+14171.88</f>
        <v>30005.21</v>
      </c>
      <c r="AU577" s="3">
        <f t="shared" ref="AU577:AX577" si="461">15833.33+14171.88</f>
        <v>30005.21</v>
      </c>
      <c r="AV577" s="3">
        <f t="shared" si="461"/>
        <v>30005.21</v>
      </c>
      <c r="AW577" s="3">
        <f t="shared" si="461"/>
        <v>30005.21</v>
      </c>
      <c r="AX577" s="3">
        <f t="shared" si="461"/>
        <v>30005.21</v>
      </c>
      <c r="AY577" s="3">
        <f>15833.33+14171.85</f>
        <v>30005.18</v>
      </c>
      <c r="AZ577" s="3">
        <f>15833.33+14171.88</f>
        <v>30005.21</v>
      </c>
      <c r="BA577" s="3">
        <f t="shared" ref="BA577:BC577" si="462">15833.33+14171.88</f>
        <v>30005.21</v>
      </c>
      <c r="BB577" s="3">
        <f t="shared" si="462"/>
        <v>30005.21</v>
      </c>
      <c r="BC577" s="3">
        <f t="shared" si="462"/>
        <v>30005.21</v>
      </c>
      <c r="BD577" s="3">
        <f>SUM(AR577:BC577)</f>
        <v>359845.78</v>
      </c>
    </row>
    <row r="578" spans="1:56" ht="13.5" thickBot="1" x14ac:dyDescent="0.35">
      <c r="D578" s="13" t="s">
        <v>70</v>
      </c>
      <c r="E578" s="14">
        <f t="shared" ref="E578:P578" si="463">SUM(E575:E577)</f>
        <v>16168.12</v>
      </c>
      <c r="F578" s="14">
        <f t="shared" si="463"/>
        <v>15918.13</v>
      </c>
      <c r="G578" s="14">
        <f t="shared" si="463"/>
        <v>30918.120000000003</v>
      </c>
      <c r="H578" s="14">
        <f t="shared" si="463"/>
        <v>30918.120000000003</v>
      </c>
      <c r="I578" s="14">
        <f t="shared" si="463"/>
        <v>30918.120000000003</v>
      </c>
      <c r="J578" s="14">
        <f t="shared" si="463"/>
        <v>30918.120000000003</v>
      </c>
      <c r="K578" s="14">
        <f t="shared" si="463"/>
        <v>30918.120000000003</v>
      </c>
      <c r="L578" s="14">
        <f t="shared" si="463"/>
        <v>30918.13</v>
      </c>
      <c r="M578" s="14">
        <f t="shared" si="463"/>
        <v>30918.120000000003</v>
      </c>
      <c r="N578" s="14">
        <f t="shared" si="463"/>
        <v>30918.120000000003</v>
      </c>
      <c r="O578" s="14">
        <f t="shared" si="463"/>
        <v>30918.120000000003</v>
      </c>
      <c r="P578" s="14">
        <f t="shared" si="463"/>
        <v>30918.120000000003</v>
      </c>
      <c r="Q578" s="14">
        <f>SUM(Q575:Q577)</f>
        <v>341267.46</v>
      </c>
      <c r="R578" s="14">
        <f t="shared" ref="R578:AC578" si="464">SUM(R575:R577)</f>
        <v>31168.120000000003</v>
      </c>
      <c r="S578" s="14">
        <f t="shared" si="464"/>
        <v>30918.13</v>
      </c>
      <c r="T578" s="14">
        <f t="shared" si="464"/>
        <v>30809.79</v>
      </c>
      <c r="U578" s="14">
        <f t="shared" si="464"/>
        <v>30809.79</v>
      </c>
      <c r="V578" s="14">
        <f t="shared" si="464"/>
        <v>30809.79</v>
      </c>
      <c r="W578" s="14">
        <f t="shared" si="464"/>
        <v>30809.79</v>
      </c>
      <c r="X578" s="14">
        <f t="shared" si="464"/>
        <v>30809.79</v>
      </c>
      <c r="Y578" s="14">
        <f t="shared" si="464"/>
        <v>30809.800000000003</v>
      </c>
      <c r="Z578" s="14">
        <f t="shared" si="464"/>
        <v>30809.79</v>
      </c>
      <c r="AA578" s="14">
        <f t="shared" si="464"/>
        <v>30809.79</v>
      </c>
      <c r="AB578" s="14">
        <f t="shared" si="464"/>
        <v>30809.79</v>
      </c>
      <c r="AC578" s="14">
        <f t="shared" si="464"/>
        <v>30809.79</v>
      </c>
      <c r="AD578" s="14">
        <f>SUM(AD575:AD577)</f>
        <v>370184.16000000003</v>
      </c>
      <c r="AE578" s="14">
        <f>SUM(AE575:AE577)</f>
        <v>31044.79</v>
      </c>
      <c r="AF578" s="14">
        <f>SUM(AF575:AF577)</f>
        <v>30794.760000000002</v>
      </c>
      <c r="AG578" s="14">
        <f t="shared" ref="AG578:AP578" si="465">SUM(AG575:AG577)</f>
        <v>30486.46</v>
      </c>
      <c r="AH578" s="14">
        <f t="shared" si="465"/>
        <v>30486.46</v>
      </c>
      <c r="AI578" s="14">
        <f t="shared" si="465"/>
        <v>30486.46</v>
      </c>
      <c r="AJ578" s="14">
        <f t="shared" si="465"/>
        <v>30486.46</v>
      </c>
      <c r="AK578" s="14">
        <f t="shared" si="465"/>
        <v>30486.46</v>
      </c>
      <c r="AL578" s="14">
        <f t="shared" si="465"/>
        <v>30486.450000000004</v>
      </c>
      <c r="AM578" s="14">
        <f t="shared" si="465"/>
        <v>30486.46</v>
      </c>
      <c r="AN578" s="14">
        <f t="shared" si="465"/>
        <v>30486.46</v>
      </c>
      <c r="AO578" s="14">
        <f t="shared" si="465"/>
        <v>30486.46</v>
      </c>
      <c r="AP578" s="14">
        <f t="shared" si="465"/>
        <v>30486.46</v>
      </c>
      <c r="AQ578" s="22">
        <f>SUM(AQ575:AQ577)</f>
        <v>366704.14</v>
      </c>
      <c r="AR578" s="22">
        <f t="shared" ref="AR578:BD578" si="466">SUM(AR575:AR577)</f>
        <v>30721.049999999996</v>
      </c>
      <c r="AS578" s="22">
        <f t="shared" si="466"/>
        <v>30471</v>
      </c>
      <c r="AT578" s="22">
        <f t="shared" si="466"/>
        <v>30579.379999999997</v>
      </c>
      <c r="AU578" s="22">
        <f t="shared" si="466"/>
        <v>30579.379999999997</v>
      </c>
      <c r="AV578" s="22">
        <f t="shared" si="466"/>
        <v>30579.379999999997</v>
      </c>
      <c r="AW578" s="22">
        <f t="shared" si="466"/>
        <v>30579.379999999997</v>
      </c>
      <c r="AX578" s="22">
        <f t="shared" si="466"/>
        <v>30579.379999999997</v>
      </c>
      <c r="AY578" s="22">
        <f t="shared" si="466"/>
        <v>30579.35</v>
      </c>
      <c r="AZ578" s="22">
        <f t="shared" si="466"/>
        <v>30579.379999999997</v>
      </c>
      <c r="BA578" s="22">
        <f t="shared" si="466"/>
        <v>30579.379999999997</v>
      </c>
      <c r="BB578" s="22">
        <f t="shared" si="466"/>
        <v>30579.379999999997</v>
      </c>
      <c r="BC578" s="22">
        <f t="shared" si="466"/>
        <v>30579.379999999997</v>
      </c>
      <c r="BD578" s="22">
        <f t="shared" si="466"/>
        <v>366985.82</v>
      </c>
    </row>
    <row r="579" spans="1:56" x14ac:dyDescent="0.3">
      <c r="D579" s="15"/>
    </row>
    <row r="580" spans="1:56" ht="15.5" x14ac:dyDescent="0.35">
      <c r="B580" s="20">
        <f>+B574+1</f>
        <v>64</v>
      </c>
      <c r="C580" s="1" t="s">
        <v>14</v>
      </c>
      <c r="D580" s="25" t="s">
        <v>282</v>
      </c>
    </row>
    <row r="581" spans="1:56" x14ac:dyDescent="0.3">
      <c r="D581" s="8" t="s">
        <v>8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f>SUM(E581:P581)</f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f>SUM(R581:AC581)</f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12">
        <v>0</v>
      </c>
      <c r="AN581" s="12">
        <v>0</v>
      </c>
      <c r="AO581" s="12">
        <v>0</v>
      </c>
      <c r="AP581" s="12">
        <v>0</v>
      </c>
      <c r="AQ581" s="3">
        <f>SUM(AE581:AP581)</f>
        <v>0</v>
      </c>
      <c r="AR581" s="3">
        <v>0</v>
      </c>
      <c r="AS581" s="3">
        <v>0</v>
      </c>
      <c r="AT581" s="3">
        <v>0</v>
      </c>
      <c r="AU581" s="3">
        <v>0</v>
      </c>
      <c r="AV581" s="3">
        <v>0</v>
      </c>
      <c r="AW581" s="3">
        <v>0</v>
      </c>
      <c r="AX581" s="3">
        <v>0</v>
      </c>
      <c r="AY581" s="3">
        <v>0</v>
      </c>
      <c r="AZ581" s="3">
        <v>0</v>
      </c>
      <c r="BA581" s="3">
        <v>0</v>
      </c>
      <c r="BB581" s="3">
        <v>0</v>
      </c>
      <c r="BC581" s="3">
        <v>0</v>
      </c>
      <c r="BD581" s="3">
        <f>SUM(AR581:BC581)</f>
        <v>0</v>
      </c>
    </row>
    <row r="582" spans="1:56" x14ac:dyDescent="0.3">
      <c r="D582" s="8" t="s">
        <v>9</v>
      </c>
      <c r="E582" s="11">
        <v>250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2">
        <f>SUM(E582:P582)</f>
        <v>250</v>
      </c>
      <c r="R582" s="11">
        <v>250</v>
      </c>
      <c r="AD582" s="12">
        <f>SUM(R582:AC582)</f>
        <v>250</v>
      </c>
      <c r="AE582" s="11">
        <v>250</v>
      </c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3">
        <f>SUM(AE582:AP582)</f>
        <v>250</v>
      </c>
      <c r="AR582" s="3">
        <v>250</v>
      </c>
      <c r="AS582" s="3">
        <v>0</v>
      </c>
      <c r="AT582" s="3">
        <v>0</v>
      </c>
      <c r="AU582" s="3">
        <v>0</v>
      </c>
      <c r="AV582" s="3">
        <v>0</v>
      </c>
      <c r="AW582" s="3">
        <v>0</v>
      </c>
      <c r="AX582" s="3">
        <v>0</v>
      </c>
      <c r="AY582" s="3">
        <v>0</v>
      </c>
      <c r="AZ582" s="3">
        <v>0</v>
      </c>
      <c r="BA582" s="3">
        <v>0</v>
      </c>
      <c r="BB582" s="3">
        <v>0</v>
      </c>
      <c r="BC582" s="3">
        <v>0</v>
      </c>
      <c r="BD582" s="3">
        <f>SUM(AR582:BC582)</f>
        <v>250</v>
      </c>
    </row>
    <row r="583" spans="1:56" ht="13.5" thickBot="1" x14ac:dyDescent="0.35">
      <c r="A583" t="s">
        <v>283</v>
      </c>
      <c r="D583" s="8" t="s">
        <v>10</v>
      </c>
      <c r="E583" s="12">
        <v>31457.29</v>
      </c>
      <c r="F583" s="12">
        <v>31457.29</v>
      </c>
      <c r="G583" s="12">
        <v>31457.29</v>
      </c>
      <c r="H583" s="12">
        <v>31457.29</v>
      </c>
      <c r="I583" s="12">
        <v>31457.3</v>
      </c>
      <c r="J583" s="12">
        <v>31457.29</v>
      </c>
      <c r="K583" s="12">
        <v>31457.29</v>
      </c>
      <c r="L583" s="12">
        <v>31457.29</v>
      </c>
      <c r="M583" s="12">
        <v>31457.29</v>
      </c>
      <c r="N583" s="12">
        <v>31457.29</v>
      </c>
      <c r="O583" s="12">
        <v>31457.3</v>
      </c>
      <c r="P583" s="12">
        <v>31457.29</v>
      </c>
      <c r="Q583" s="12">
        <f>SUM(E583:P583)</f>
        <v>377487.49999999994</v>
      </c>
      <c r="R583" s="12">
        <v>31457.29</v>
      </c>
      <c r="S583" s="12">
        <v>31457.29</v>
      </c>
      <c r="T583" s="12">
        <v>31457.29</v>
      </c>
      <c r="U583" s="12">
        <v>31457.29</v>
      </c>
      <c r="V583" s="12">
        <v>31457.3</v>
      </c>
      <c r="W583" s="12">
        <v>31457.29</v>
      </c>
      <c r="X583" s="12">
        <v>31457.29</v>
      </c>
      <c r="Y583" s="12">
        <v>31457.29</v>
      </c>
      <c r="Z583" s="12">
        <v>31457.29</v>
      </c>
      <c r="AA583" s="12">
        <v>31457.29</v>
      </c>
      <c r="AB583" s="12">
        <v>31457.3</v>
      </c>
      <c r="AC583" s="12">
        <f>10416.67+31457.29</f>
        <v>41873.96</v>
      </c>
      <c r="AD583" s="12">
        <f>SUM(R583:AC583)</f>
        <v>387904.17</v>
      </c>
      <c r="AE583" s="12">
        <f t="shared" ref="AE583:AN583" si="467">10416.67+31457.29</f>
        <v>41873.96</v>
      </c>
      <c r="AF583" s="12">
        <f t="shared" si="467"/>
        <v>41873.96</v>
      </c>
      <c r="AG583" s="12">
        <f t="shared" si="467"/>
        <v>41873.96</v>
      </c>
      <c r="AH583" s="12">
        <f t="shared" si="467"/>
        <v>41873.96</v>
      </c>
      <c r="AI583" s="12">
        <f>10416.67+31457.3</f>
        <v>41873.97</v>
      </c>
      <c r="AJ583" s="12">
        <f t="shared" si="467"/>
        <v>41873.96</v>
      </c>
      <c r="AK583" s="12">
        <f t="shared" si="467"/>
        <v>41873.96</v>
      </c>
      <c r="AL583" s="12">
        <f t="shared" si="467"/>
        <v>41873.96</v>
      </c>
      <c r="AM583" s="12">
        <f t="shared" si="467"/>
        <v>41873.96</v>
      </c>
      <c r="AN583" s="12">
        <f t="shared" si="467"/>
        <v>41873.96</v>
      </c>
      <c r="AO583" s="12">
        <f>10416.63+31457.3</f>
        <v>41873.93</v>
      </c>
      <c r="AP583" s="12">
        <f>11250+30754.17</f>
        <v>42004.17</v>
      </c>
      <c r="AQ583" s="3">
        <f>SUM(AE583:AP583)</f>
        <v>502617.71</v>
      </c>
      <c r="AR583" s="3">
        <f>11250+30754.17</f>
        <v>42004.17</v>
      </c>
      <c r="AS583" s="3">
        <f>11250+30754.17</f>
        <v>42004.17</v>
      </c>
      <c r="AT583" s="3">
        <f t="shared" ref="AT583:AU583" si="468">11250+30754.17</f>
        <v>42004.17</v>
      </c>
      <c r="AU583" s="3">
        <f t="shared" si="468"/>
        <v>42004.17</v>
      </c>
      <c r="AV583" s="3">
        <f>11250+30754.15</f>
        <v>42004.15</v>
      </c>
      <c r="AW583" s="3">
        <f>11250+30754.17</f>
        <v>42004.17</v>
      </c>
      <c r="AX583" s="3">
        <f t="shared" ref="AX583:BA583" si="469">11250+30754.17</f>
        <v>42004.17</v>
      </c>
      <c r="AY583" s="3">
        <f t="shared" si="469"/>
        <v>42004.17</v>
      </c>
      <c r="AZ583" s="3">
        <f t="shared" si="469"/>
        <v>42004.17</v>
      </c>
      <c r="BA583" s="3">
        <f t="shared" si="469"/>
        <v>42004.17</v>
      </c>
      <c r="BB583" s="3">
        <f>11250+30754.15</f>
        <v>42004.15</v>
      </c>
      <c r="BC583" s="3">
        <f>11666.67+30242.19</f>
        <v>41908.86</v>
      </c>
      <c r="BD583" s="3">
        <f>SUM(AR583:BC583)</f>
        <v>503954.68999999994</v>
      </c>
    </row>
    <row r="584" spans="1:56" ht="13.5" thickBot="1" x14ac:dyDescent="0.35">
      <c r="D584" s="13" t="s">
        <v>284</v>
      </c>
      <c r="E584" s="14">
        <f t="shared" ref="E584:P584" si="470">SUM(E581:E583)</f>
        <v>31707.29</v>
      </c>
      <c r="F584" s="14">
        <f t="shared" si="470"/>
        <v>31457.29</v>
      </c>
      <c r="G584" s="14">
        <f t="shared" si="470"/>
        <v>31457.29</v>
      </c>
      <c r="H584" s="14">
        <f t="shared" si="470"/>
        <v>31457.29</v>
      </c>
      <c r="I584" s="14">
        <f t="shared" si="470"/>
        <v>31457.3</v>
      </c>
      <c r="J584" s="14">
        <f t="shared" si="470"/>
        <v>31457.29</v>
      </c>
      <c r="K584" s="14">
        <f t="shared" si="470"/>
        <v>31457.29</v>
      </c>
      <c r="L584" s="14">
        <f t="shared" si="470"/>
        <v>31457.29</v>
      </c>
      <c r="M584" s="14">
        <f t="shared" si="470"/>
        <v>31457.29</v>
      </c>
      <c r="N584" s="14">
        <f t="shared" si="470"/>
        <v>31457.29</v>
      </c>
      <c r="O584" s="14">
        <f t="shared" si="470"/>
        <v>31457.3</v>
      </c>
      <c r="P584" s="14">
        <f t="shared" si="470"/>
        <v>31457.29</v>
      </c>
      <c r="Q584" s="14">
        <f>SUM(Q581:Q583)</f>
        <v>377737.49999999994</v>
      </c>
      <c r="R584" s="14">
        <f t="shared" ref="R584:AC584" si="471">SUM(R581:R583)</f>
        <v>31707.29</v>
      </c>
      <c r="S584" s="14">
        <f t="shared" si="471"/>
        <v>31457.29</v>
      </c>
      <c r="T584" s="14">
        <f t="shared" si="471"/>
        <v>31457.29</v>
      </c>
      <c r="U584" s="14">
        <f t="shared" si="471"/>
        <v>31457.29</v>
      </c>
      <c r="V584" s="14">
        <f t="shared" si="471"/>
        <v>31457.3</v>
      </c>
      <c r="W584" s="14">
        <f t="shared" si="471"/>
        <v>31457.29</v>
      </c>
      <c r="X584" s="14">
        <f t="shared" si="471"/>
        <v>31457.29</v>
      </c>
      <c r="Y584" s="14">
        <f t="shared" si="471"/>
        <v>31457.29</v>
      </c>
      <c r="Z584" s="14">
        <f t="shared" si="471"/>
        <v>31457.29</v>
      </c>
      <c r="AA584" s="14">
        <f t="shared" si="471"/>
        <v>31457.29</v>
      </c>
      <c r="AB584" s="14">
        <f t="shared" si="471"/>
        <v>31457.3</v>
      </c>
      <c r="AC584" s="14">
        <f t="shared" si="471"/>
        <v>41873.96</v>
      </c>
      <c r="AD584" s="14">
        <f>SUM(AD581:AD583)</f>
        <v>388154.17</v>
      </c>
      <c r="AE584" s="14">
        <f>SUM(AE581:AE583)</f>
        <v>42123.96</v>
      </c>
      <c r="AF584" s="14">
        <f>SUM(AF581:AF583)</f>
        <v>41873.96</v>
      </c>
      <c r="AG584" s="14">
        <f t="shared" ref="AG584:AP584" si="472">SUM(AG581:AG583)</f>
        <v>41873.96</v>
      </c>
      <c r="AH584" s="14">
        <f t="shared" si="472"/>
        <v>41873.96</v>
      </c>
      <c r="AI584" s="14">
        <f t="shared" si="472"/>
        <v>41873.97</v>
      </c>
      <c r="AJ584" s="14">
        <f t="shared" si="472"/>
        <v>41873.96</v>
      </c>
      <c r="AK584" s="14">
        <f t="shared" si="472"/>
        <v>41873.96</v>
      </c>
      <c r="AL584" s="14">
        <f t="shared" si="472"/>
        <v>41873.96</v>
      </c>
      <c r="AM584" s="14">
        <f t="shared" si="472"/>
        <v>41873.96</v>
      </c>
      <c r="AN584" s="14">
        <f t="shared" si="472"/>
        <v>41873.96</v>
      </c>
      <c r="AO584" s="14">
        <f t="shared" si="472"/>
        <v>41873.93</v>
      </c>
      <c r="AP584" s="14">
        <f t="shared" si="472"/>
        <v>42004.17</v>
      </c>
      <c r="AQ584" s="22">
        <f>SUM(AQ581:AQ583)</f>
        <v>502867.71</v>
      </c>
      <c r="AR584" s="22">
        <f t="shared" ref="AR584:BD584" si="473">SUM(AR581:AR583)</f>
        <v>42254.17</v>
      </c>
      <c r="AS584" s="22">
        <f t="shared" si="473"/>
        <v>42004.17</v>
      </c>
      <c r="AT584" s="22">
        <f t="shared" si="473"/>
        <v>42004.17</v>
      </c>
      <c r="AU584" s="22">
        <f t="shared" si="473"/>
        <v>42004.17</v>
      </c>
      <c r="AV584" s="22">
        <f t="shared" si="473"/>
        <v>42004.15</v>
      </c>
      <c r="AW584" s="22">
        <f t="shared" si="473"/>
        <v>42004.17</v>
      </c>
      <c r="AX584" s="22">
        <f t="shared" si="473"/>
        <v>42004.17</v>
      </c>
      <c r="AY584" s="22">
        <f t="shared" si="473"/>
        <v>42004.17</v>
      </c>
      <c r="AZ584" s="22">
        <f t="shared" si="473"/>
        <v>42004.17</v>
      </c>
      <c r="BA584" s="22">
        <f t="shared" si="473"/>
        <v>42004.17</v>
      </c>
      <c r="BB584" s="22">
        <f t="shared" si="473"/>
        <v>42004.15</v>
      </c>
      <c r="BC584" s="22">
        <f t="shared" si="473"/>
        <v>41908.86</v>
      </c>
      <c r="BD584" s="22">
        <f t="shared" si="473"/>
        <v>504204.68999999994</v>
      </c>
    </row>
    <row r="585" spans="1:56" x14ac:dyDescent="0.3">
      <c r="D585" s="15"/>
    </row>
    <row r="586" spans="1:56" ht="15.5" x14ac:dyDescent="0.35">
      <c r="B586" s="20">
        <f>+B580+1</f>
        <v>65</v>
      </c>
      <c r="C586" t="s">
        <v>14</v>
      </c>
      <c r="D586" s="25" t="s">
        <v>285</v>
      </c>
    </row>
    <row r="587" spans="1:56" x14ac:dyDescent="0.3">
      <c r="D587" s="8" t="s">
        <v>8</v>
      </c>
      <c r="E587" s="12">
        <v>858.75</v>
      </c>
      <c r="F587" s="12">
        <v>858.75</v>
      </c>
      <c r="G587" s="12">
        <v>858.75</v>
      </c>
      <c r="H587" s="36">
        <v>0</v>
      </c>
      <c r="I587" s="12">
        <f>858.75*2</f>
        <v>1717.5</v>
      </c>
      <c r="J587" s="12">
        <v>858.75</v>
      </c>
      <c r="K587" s="12">
        <v>858.75</v>
      </c>
      <c r="L587" s="12">
        <v>858.75</v>
      </c>
      <c r="M587" s="12">
        <v>858.75</v>
      </c>
      <c r="N587" s="12">
        <v>858.75</v>
      </c>
      <c r="O587" s="12">
        <v>858.75</v>
      </c>
      <c r="P587" s="12">
        <v>858.75</v>
      </c>
      <c r="Q587" s="12">
        <f>SUM(E587:P587)</f>
        <v>10305</v>
      </c>
      <c r="R587" s="12">
        <v>858.75</v>
      </c>
      <c r="S587" s="12">
        <v>858.75</v>
      </c>
      <c r="T587" s="12">
        <v>858.75</v>
      </c>
      <c r="U587" s="12">
        <v>858.75</v>
      </c>
      <c r="V587" s="12">
        <v>858.75</v>
      </c>
      <c r="W587" s="12">
        <v>858.75</v>
      </c>
      <c r="X587" s="12">
        <v>858.75</v>
      </c>
      <c r="Y587" s="12">
        <v>858.75</v>
      </c>
      <c r="Z587" s="12">
        <v>858.75</v>
      </c>
      <c r="AA587" s="12">
        <v>858.75</v>
      </c>
      <c r="AB587" s="12">
        <v>858.75</v>
      </c>
      <c r="AC587" s="12">
        <v>858.75</v>
      </c>
      <c r="AD587" s="12">
        <f>SUM(R587:AC587)</f>
        <v>10305</v>
      </c>
      <c r="AE587" s="12">
        <v>858.75</v>
      </c>
      <c r="AF587" s="12">
        <v>858.75</v>
      </c>
      <c r="AG587" s="12">
        <v>858.75</v>
      </c>
      <c r="AH587" s="12">
        <v>858.75</v>
      </c>
      <c r="AI587" s="12">
        <v>858.75</v>
      </c>
      <c r="AJ587" s="12">
        <v>858.75</v>
      </c>
      <c r="AK587" s="12">
        <v>858.75</v>
      </c>
      <c r="AL587" s="12">
        <v>858.75</v>
      </c>
      <c r="AM587" s="12">
        <v>858.75</v>
      </c>
      <c r="AN587" s="12">
        <v>858.75</v>
      </c>
      <c r="AO587" s="12">
        <v>858.75</v>
      </c>
      <c r="AP587" s="12">
        <v>858.75</v>
      </c>
      <c r="AQ587" s="3">
        <f>SUM(AE587:AP587)</f>
        <v>10305</v>
      </c>
      <c r="AR587" s="3">
        <v>858.75</v>
      </c>
      <c r="AS587" s="3">
        <v>858.75</v>
      </c>
      <c r="AT587" s="3">
        <v>858.75</v>
      </c>
      <c r="AU587" s="3">
        <v>858.75</v>
      </c>
      <c r="AV587" s="3">
        <v>858.75</v>
      </c>
      <c r="AW587" s="3">
        <v>858.75</v>
      </c>
      <c r="AX587" s="3">
        <v>858.75</v>
      </c>
      <c r="AY587" s="3">
        <v>858.75</v>
      </c>
      <c r="AZ587" s="3">
        <v>858.75</v>
      </c>
      <c r="BA587" s="3">
        <v>858.75</v>
      </c>
      <c r="BB587" s="3">
        <v>858.75</v>
      </c>
      <c r="BC587" s="3">
        <v>858.75</v>
      </c>
      <c r="BD587" s="3">
        <f>SUM(AR587:BC587)</f>
        <v>10305</v>
      </c>
    </row>
    <row r="588" spans="1:56" x14ac:dyDescent="0.3">
      <c r="D588" s="8" t="s">
        <v>9</v>
      </c>
      <c r="E588" s="11">
        <v>250</v>
      </c>
      <c r="F588" s="11"/>
      <c r="G588" s="11"/>
      <c r="H588" s="17"/>
      <c r="I588" s="11"/>
      <c r="J588" s="11"/>
      <c r="K588" s="11"/>
      <c r="L588" s="11"/>
      <c r="M588" s="11"/>
      <c r="N588" s="11"/>
      <c r="O588" s="11"/>
      <c r="P588" s="11"/>
      <c r="Q588" s="12">
        <f>SUM(E588:P588)</f>
        <v>250</v>
      </c>
      <c r="R588" s="11">
        <v>250</v>
      </c>
      <c r="AD588" s="12">
        <f>SUM(R588:AC588)</f>
        <v>250</v>
      </c>
      <c r="AE588" s="11">
        <v>250</v>
      </c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3">
        <f>SUM(AE588:AP588)</f>
        <v>250</v>
      </c>
      <c r="AR588" s="3">
        <v>250</v>
      </c>
      <c r="AS588" s="3">
        <v>0</v>
      </c>
      <c r="AT588" s="3">
        <v>0</v>
      </c>
      <c r="AU588" s="3">
        <v>0</v>
      </c>
      <c r="AV588" s="3">
        <v>0</v>
      </c>
      <c r="AW588" s="3">
        <v>0</v>
      </c>
      <c r="AX588" s="3">
        <v>0</v>
      </c>
      <c r="AY588" s="3">
        <v>0</v>
      </c>
      <c r="AZ588" s="3">
        <v>0</v>
      </c>
      <c r="BA588" s="3">
        <v>0</v>
      </c>
      <c r="BB588" s="3">
        <v>0</v>
      </c>
      <c r="BC588" s="3">
        <v>0</v>
      </c>
      <c r="BD588" s="3">
        <f>SUM(AR588:BC588)</f>
        <v>250</v>
      </c>
    </row>
    <row r="589" spans="1:56" ht="13.5" thickBot="1" x14ac:dyDescent="0.35">
      <c r="A589" t="s">
        <v>286</v>
      </c>
      <c r="D589" s="8" t="s">
        <v>10</v>
      </c>
      <c r="E589" s="12">
        <v>34350</v>
      </c>
      <c r="F589" s="12">
        <v>34350</v>
      </c>
      <c r="G589" s="12">
        <v>34350</v>
      </c>
      <c r="H589" s="36">
        <v>34350</v>
      </c>
      <c r="I589" s="12">
        <v>34350</v>
      </c>
      <c r="J589" s="12">
        <v>34350</v>
      </c>
      <c r="K589" s="12">
        <v>34350</v>
      </c>
      <c r="L589" s="12">
        <v>34350</v>
      </c>
      <c r="M589" s="12">
        <v>34350</v>
      </c>
      <c r="N589" s="12">
        <v>34350</v>
      </c>
      <c r="O589" s="12">
        <v>34350</v>
      </c>
      <c r="P589" s="12">
        <v>34350</v>
      </c>
      <c r="Q589" s="12">
        <f>SUM(E589:P589)</f>
        <v>412200</v>
      </c>
      <c r="R589" s="12">
        <v>34350</v>
      </c>
      <c r="S589" s="12">
        <v>34350</v>
      </c>
      <c r="T589" s="12">
        <v>34350</v>
      </c>
      <c r="U589" s="12">
        <v>34350</v>
      </c>
      <c r="V589" s="12">
        <v>34350</v>
      </c>
      <c r="W589" s="12">
        <v>34350</v>
      </c>
      <c r="X589" s="12">
        <v>34350</v>
      </c>
      <c r="Y589" s="12">
        <v>34350</v>
      </c>
      <c r="Z589" s="12">
        <v>34350</v>
      </c>
      <c r="AA589" s="12">
        <v>34350</v>
      </c>
      <c r="AB589" s="12">
        <v>34350</v>
      </c>
      <c r="AC589" s="12">
        <v>34350</v>
      </c>
      <c r="AD589" s="12">
        <f>SUM(R589:AC589)</f>
        <v>412200</v>
      </c>
      <c r="AE589" s="12">
        <v>34350</v>
      </c>
      <c r="AF589" s="12">
        <v>34350</v>
      </c>
      <c r="AG589" s="12">
        <v>34350</v>
      </c>
      <c r="AH589" s="12">
        <v>34350</v>
      </c>
      <c r="AI589" s="12">
        <v>34350</v>
      </c>
      <c r="AJ589" s="12">
        <v>34350</v>
      </c>
      <c r="AK589" s="12">
        <v>34350</v>
      </c>
      <c r="AL589" s="12">
        <v>34350</v>
      </c>
      <c r="AM589" s="12">
        <v>34350</v>
      </c>
      <c r="AN589" s="12">
        <v>34350</v>
      </c>
      <c r="AO589" s="12">
        <v>34350</v>
      </c>
      <c r="AP589" s="12">
        <v>34350</v>
      </c>
      <c r="AQ589" s="3">
        <f>SUM(AE589:AP589)</f>
        <v>412200</v>
      </c>
      <c r="AR589" s="3">
        <v>34350</v>
      </c>
      <c r="AS589" s="3">
        <v>34350</v>
      </c>
      <c r="AT589" s="3">
        <v>34350</v>
      </c>
      <c r="AU589" s="3">
        <v>34350</v>
      </c>
      <c r="AV589" s="3">
        <v>34350</v>
      </c>
      <c r="AW589" s="3">
        <v>34350</v>
      </c>
      <c r="AX589" s="3">
        <v>34350</v>
      </c>
      <c r="AY589" s="3">
        <v>34350</v>
      </c>
      <c r="AZ589" s="3">
        <v>34350</v>
      </c>
      <c r="BA589" s="3">
        <v>34350</v>
      </c>
      <c r="BB589" s="3">
        <v>34350</v>
      </c>
      <c r="BC589" s="3">
        <v>34350</v>
      </c>
      <c r="BD589" s="3">
        <f>SUM(AR589:BC589)</f>
        <v>412200</v>
      </c>
    </row>
    <row r="590" spans="1:56" ht="13.5" thickBot="1" x14ac:dyDescent="0.35">
      <c r="D590" s="13" t="s">
        <v>129</v>
      </c>
      <c r="E590" s="14">
        <f t="shared" ref="E590:P590" si="474">SUM(E587:E589)</f>
        <v>35458.75</v>
      </c>
      <c r="F590" s="14">
        <f t="shared" si="474"/>
        <v>35208.75</v>
      </c>
      <c r="G590" s="14">
        <f t="shared" si="474"/>
        <v>35208.75</v>
      </c>
      <c r="H590" s="14">
        <f t="shared" si="474"/>
        <v>34350</v>
      </c>
      <c r="I590" s="14">
        <f t="shared" si="474"/>
        <v>36067.5</v>
      </c>
      <c r="J590" s="14">
        <f t="shared" si="474"/>
        <v>35208.75</v>
      </c>
      <c r="K590" s="14">
        <f t="shared" si="474"/>
        <v>35208.75</v>
      </c>
      <c r="L590" s="14">
        <f t="shared" si="474"/>
        <v>35208.75</v>
      </c>
      <c r="M590" s="14">
        <f t="shared" si="474"/>
        <v>35208.75</v>
      </c>
      <c r="N590" s="14">
        <f t="shared" si="474"/>
        <v>35208.75</v>
      </c>
      <c r="O590" s="14">
        <f t="shared" si="474"/>
        <v>35208.75</v>
      </c>
      <c r="P590" s="14">
        <f t="shared" si="474"/>
        <v>35208.75</v>
      </c>
      <c r="Q590" s="14">
        <f>SUM(Q587:Q589)</f>
        <v>422755</v>
      </c>
      <c r="R590" s="14">
        <f t="shared" ref="R590:AC590" si="475">SUM(R587:R589)</f>
        <v>35458.75</v>
      </c>
      <c r="S590" s="14">
        <f t="shared" si="475"/>
        <v>35208.75</v>
      </c>
      <c r="T590" s="14">
        <f t="shared" si="475"/>
        <v>35208.75</v>
      </c>
      <c r="U590" s="14">
        <f t="shared" si="475"/>
        <v>35208.75</v>
      </c>
      <c r="V590" s="14">
        <f t="shared" si="475"/>
        <v>35208.75</v>
      </c>
      <c r="W590" s="14">
        <f t="shared" si="475"/>
        <v>35208.75</v>
      </c>
      <c r="X590" s="14">
        <f t="shared" si="475"/>
        <v>35208.75</v>
      </c>
      <c r="Y590" s="14">
        <f t="shared" si="475"/>
        <v>35208.75</v>
      </c>
      <c r="Z590" s="14">
        <f t="shared" si="475"/>
        <v>35208.75</v>
      </c>
      <c r="AA590" s="14">
        <f t="shared" si="475"/>
        <v>35208.75</v>
      </c>
      <c r="AB590" s="14">
        <f t="shared" si="475"/>
        <v>35208.75</v>
      </c>
      <c r="AC590" s="14">
        <f t="shared" si="475"/>
        <v>35208.75</v>
      </c>
      <c r="AD590" s="14">
        <f>SUM(AD587:AD589)</f>
        <v>422755</v>
      </c>
      <c r="AE590" s="14">
        <f>SUM(AE587:AE589)</f>
        <v>35458.75</v>
      </c>
      <c r="AF590" s="14">
        <f>SUM(AF587:AF589)</f>
        <v>35208.75</v>
      </c>
      <c r="AG590" s="14">
        <f t="shared" ref="AG590:AP590" si="476">SUM(AG587:AG589)</f>
        <v>35208.75</v>
      </c>
      <c r="AH590" s="14">
        <f t="shared" si="476"/>
        <v>35208.75</v>
      </c>
      <c r="AI590" s="14">
        <f t="shared" si="476"/>
        <v>35208.75</v>
      </c>
      <c r="AJ590" s="14">
        <f t="shared" si="476"/>
        <v>35208.75</v>
      </c>
      <c r="AK590" s="14">
        <f t="shared" si="476"/>
        <v>35208.75</v>
      </c>
      <c r="AL590" s="14">
        <f t="shared" si="476"/>
        <v>35208.75</v>
      </c>
      <c r="AM590" s="14">
        <f t="shared" si="476"/>
        <v>35208.75</v>
      </c>
      <c r="AN590" s="14">
        <f t="shared" si="476"/>
        <v>35208.75</v>
      </c>
      <c r="AO590" s="14">
        <f t="shared" si="476"/>
        <v>35208.75</v>
      </c>
      <c r="AP590" s="14">
        <f t="shared" si="476"/>
        <v>35208.75</v>
      </c>
      <c r="AQ590" s="22">
        <f>SUM(AQ587:AQ589)</f>
        <v>422755</v>
      </c>
      <c r="AR590" s="22">
        <f t="shared" ref="AR590:BD590" si="477">SUM(AR587:AR589)</f>
        <v>35458.75</v>
      </c>
      <c r="AS590" s="22">
        <f t="shared" si="477"/>
        <v>35208.75</v>
      </c>
      <c r="AT590" s="22">
        <f t="shared" si="477"/>
        <v>35208.75</v>
      </c>
      <c r="AU590" s="22">
        <f t="shared" si="477"/>
        <v>35208.75</v>
      </c>
      <c r="AV590" s="22">
        <f t="shared" si="477"/>
        <v>35208.75</v>
      </c>
      <c r="AW590" s="22">
        <f t="shared" si="477"/>
        <v>35208.75</v>
      </c>
      <c r="AX590" s="22">
        <f t="shared" si="477"/>
        <v>35208.75</v>
      </c>
      <c r="AY590" s="22">
        <f t="shared" si="477"/>
        <v>35208.75</v>
      </c>
      <c r="AZ590" s="22">
        <f t="shared" si="477"/>
        <v>35208.75</v>
      </c>
      <c r="BA590" s="22">
        <f t="shared" si="477"/>
        <v>35208.75</v>
      </c>
      <c r="BB590" s="22">
        <f t="shared" si="477"/>
        <v>35208.75</v>
      </c>
      <c r="BC590" s="22">
        <f t="shared" si="477"/>
        <v>35208.75</v>
      </c>
      <c r="BD590" s="22">
        <f t="shared" si="477"/>
        <v>422755</v>
      </c>
    </row>
    <row r="591" spans="1:56" x14ac:dyDescent="0.3">
      <c r="D591" s="15"/>
    </row>
    <row r="592" spans="1:56" ht="15.5" x14ac:dyDescent="0.35">
      <c r="B592" s="20">
        <f>+B586+1</f>
        <v>66</v>
      </c>
      <c r="C592" s="1" t="s">
        <v>14</v>
      </c>
      <c r="D592" s="25" t="s">
        <v>287</v>
      </c>
    </row>
    <row r="593" spans="1:56" x14ac:dyDescent="0.3">
      <c r="D593" s="8" t="s">
        <v>8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f>SUM(E593:P593)</f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f>SUM(R593:AC593)</f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12">
        <v>0</v>
      </c>
      <c r="AN593" s="12">
        <v>0</v>
      </c>
      <c r="AO593" s="12">
        <v>0</v>
      </c>
      <c r="AP593" s="12">
        <v>0</v>
      </c>
      <c r="AQ593" s="3">
        <f>SUM(AE593:AP593)</f>
        <v>0</v>
      </c>
      <c r="AR593" s="3">
        <v>0</v>
      </c>
      <c r="AS593" s="3">
        <v>0</v>
      </c>
      <c r="AT593" s="3">
        <v>0</v>
      </c>
      <c r="AU593" s="3">
        <v>0</v>
      </c>
      <c r="AV593" s="3">
        <v>0</v>
      </c>
      <c r="AW593" s="3">
        <v>0</v>
      </c>
      <c r="AX593" s="3">
        <v>0</v>
      </c>
      <c r="AY593" s="3">
        <v>0</v>
      </c>
      <c r="AZ593" s="3">
        <v>0</v>
      </c>
      <c r="BA593" s="3">
        <v>0</v>
      </c>
      <c r="BB593" s="3">
        <v>0</v>
      </c>
      <c r="BC593" s="3">
        <v>0</v>
      </c>
      <c r="BD593" s="3">
        <f>SUM(AR593:BC593)</f>
        <v>0</v>
      </c>
    </row>
    <row r="594" spans="1:56" x14ac:dyDescent="0.3">
      <c r="D594" s="8" t="s">
        <v>9</v>
      </c>
      <c r="E594" s="11">
        <v>250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2">
        <f>SUM(E594:P594)</f>
        <v>250</v>
      </c>
      <c r="R594" s="11">
        <v>250</v>
      </c>
      <c r="AD594" s="12">
        <f>SUM(R594:AC594)</f>
        <v>250</v>
      </c>
      <c r="AE594" s="11">
        <v>250</v>
      </c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3">
        <f>SUM(AE594:AP594)</f>
        <v>250</v>
      </c>
      <c r="AR594" s="3">
        <v>250</v>
      </c>
      <c r="AS594" s="3">
        <v>0</v>
      </c>
      <c r="AT594" s="3">
        <v>0</v>
      </c>
      <c r="AU594" s="3">
        <v>0</v>
      </c>
      <c r="AV594" s="3">
        <v>0</v>
      </c>
      <c r="AW594" s="3">
        <v>0</v>
      </c>
      <c r="AX594" s="3">
        <v>0</v>
      </c>
      <c r="AY594" s="3">
        <v>0</v>
      </c>
      <c r="AZ594" s="3">
        <v>0</v>
      </c>
      <c r="BA594" s="3">
        <v>0</v>
      </c>
      <c r="BB594" s="3">
        <v>0</v>
      </c>
      <c r="BC594" s="3">
        <v>0</v>
      </c>
      <c r="BD594" s="3">
        <f>SUM(AR594:BC594)</f>
        <v>250</v>
      </c>
    </row>
    <row r="595" spans="1:56" ht="13.5" thickBot="1" x14ac:dyDescent="0.35">
      <c r="A595" t="s">
        <v>288</v>
      </c>
      <c r="D595" s="8" t="s">
        <v>10</v>
      </c>
      <c r="E595" s="12">
        <v>64735.42</v>
      </c>
      <c r="F595" s="12">
        <v>64735.42</v>
      </c>
      <c r="G595" s="12">
        <v>64735.42</v>
      </c>
      <c r="H595" s="12">
        <v>64735.42</v>
      </c>
      <c r="I595" s="12">
        <v>64735.42</v>
      </c>
      <c r="J595" s="12">
        <v>64735.42</v>
      </c>
      <c r="K595" s="12">
        <v>64735.42</v>
      </c>
      <c r="L595" s="12">
        <v>64735.42</v>
      </c>
      <c r="M595" s="12">
        <v>64735.42</v>
      </c>
      <c r="N595" s="12">
        <v>64735.42</v>
      </c>
      <c r="O595" s="12">
        <v>64735.42</v>
      </c>
      <c r="P595" s="11">
        <f>15833.33+64735.42</f>
        <v>80568.75</v>
      </c>
      <c r="Q595" s="12">
        <f>SUM(E595:P595)</f>
        <v>792658.37</v>
      </c>
      <c r="R595" s="11">
        <f>15833.33+64735.42</f>
        <v>80568.75</v>
      </c>
      <c r="S595" s="11">
        <f>15833.33+64735.42</f>
        <v>80568.75</v>
      </c>
      <c r="T595" s="11">
        <f>15833.33+64735.42</f>
        <v>80568.75</v>
      </c>
      <c r="U595" s="11">
        <f>15833.33+64735.42</f>
        <v>80568.75</v>
      </c>
      <c r="V595" s="11">
        <f>15833.33+64735.42</f>
        <v>80568.75</v>
      </c>
      <c r="W595" s="11">
        <f t="shared" ref="W595:AB595" si="478">16666.67+64400</f>
        <v>81066.67</v>
      </c>
      <c r="X595" s="11">
        <f t="shared" si="478"/>
        <v>81066.67</v>
      </c>
      <c r="Y595" s="11">
        <f t="shared" si="478"/>
        <v>81066.67</v>
      </c>
      <c r="Z595" s="11">
        <f t="shared" si="478"/>
        <v>81066.67</v>
      </c>
      <c r="AA595" s="11">
        <f t="shared" si="478"/>
        <v>81066.67</v>
      </c>
      <c r="AB595" s="11">
        <f t="shared" si="478"/>
        <v>81066.67</v>
      </c>
      <c r="AC595" s="11">
        <f>17500+88669.79</f>
        <v>106169.79</v>
      </c>
      <c r="AD595" s="12">
        <f>SUM(R595:AC595)</f>
        <v>995413.56000000017</v>
      </c>
      <c r="AE595" s="11">
        <f>17500+88669.79</f>
        <v>106169.79</v>
      </c>
      <c r="AF595" s="11">
        <f>17500+88669.79</f>
        <v>106169.79</v>
      </c>
      <c r="AG595" s="11">
        <f>17500+88669.79</f>
        <v>106169.79</v>
      </c>
      <c r="AH595" s="11">
        <f>17500+88669.79</f>
        <v>106169.79</v>
      </c>
      <c r="AI595" s="11">
        <f>17500+88669.79</f>
        <v>106169.79</v>
      </c>
      <c r="AJ595" s="12">
        <f t="shared" ref="AJ595:AO595" si="479">17500+88166.67</f>
        <v>105666.67</v>
      </c>
      <c r="AK595" s="12">
        <f t="shared" si="479"/>
        <v>105666.67</v>
      </c>
      <c r="AL595" s="12">
        <f t="shared" si="479"/>
        <v>105666.67</v>
      </c>
      <c r="AM595" s="12">
        <f t="shared" si="479"/>
        <v>105666.67</v>
      </c>
      <c r="AN595" s="12">
        <f t="shared" si="479"/>
        <v>105666.67</v>
      </c>
      <c r="AO595" s="12">
        <f t="shared" si="479"/>
        <v>105666.67</v>
      </c>
      <c r="AP595" s="12">
        <f>17500+87663.54</f>
        <v>105163.54</v>
      </c>
      <c r="AQ595" s="3">
        <f>SUM(AE595:AP595)</f>
        <v>1270012.51</v>
      </c>
      <c r="AR595" s="3">
        <f>17500+87663.54</f>
        <v>105163.54</v>
      </c>
      <c r="AS595" s="3">
        <f t="shared" ref="AS595:AV595" si="480">17500+87663.54</f>
        <v>105163.54</v>
      </c>
      <c r="AT595" s="3">
        <f t="shared" si="480"/>
        <v>105163.54</v>
      </c>
      <c r="AU595" s="3">
        <f t="shared" si="480"/>
        <v>105163.54</v>
      </c>
      <c r="AV595" s="3">
        <f t="shared" si="480"/>
        <v>105163.54</v>
      </c>
      <c r="AW595" s="3">
        <f>19166.67+87160.42</f>
        <v>106327.09</v>
      </c>
      <c r="AX595" s="3">
        <f t="shared" ref="AX595:BB595" si="481">19166.67+87160.42</f>
        <v>106327.09</v>
      </c>
      <c r="AY595" s="3">
        <f t="shared" si="481"/>
        <v>106327.09</v>
      </c>
      <c r="AZ595" s="3">
        <f t="shared" si="481"/>
        <v>106327.09</v>
      </c>
      <c r="BA595" s="3">
        <f t="shared" si="481"/>
        <v>106327.09</v>
      </c>
      <c r="BB595" s="3">
        <f t="shared" si="481"/>
        <v>106327.09</v>
      </c>
      <c r="BC595" s="3">
        <f>19166.67+86609.38</f>
        <v>105776.05</v>
      </c>
      <c r="BD595" s="3">
        <f>SUM(AR595:BC595)</f>
        <v>1269556.29</v>
      </c>
    </row>
    <row r="596" spans="1:56" ht="13.5" thickBot="1" x14ac:dyDescent="0.35">
      <c r="D596" s="13" t="s">
        <v>289</v>
      </c>
      <c r="E596" s="14">
        <f t="shared" ref="E596:P596" si="482">SUM(E593:E595)</f>
        <v>64985.42</v>
      </c>
      <c r="F596" s="14">
        <f t="shared" si="482"/>
        <v>64735.42</v>
      </c>
      <c r="G596" s="14">
        <f t="shared" si="482"/>
        <v>64735.42</v>
      </c>
      <c r="H596" s="14">
        <f t="shared" si="482"/>
        <v>64735.42</v>
      </c>
      <c r="I596" s="14">
        <f t="shared" si="482"/>
        <v>64735.42</v>
      </c>
      <c r="J596" s="14">
        <f t="shared" si="482"/>
        <v>64735.42</v>
      </c>
      <c r="K596" s="14">
        <f t="shared" si="482"/>
        <v>64735.42</v>
      </c>
      <c r="L596" s="14">
        <f t="shared" si="482"/>
        <v>64735.42</v>
      </c>
      <c r="M596" s="14">
        <f t="shared" si="482"/>
        <v>64735.42</v>
      </c>
      <c r="N596" s="14">
        <f t="shared" si="482"/>
        <v>64735.42</v>
      </c>
      <c r="O596" s="14">
        <f t="shared" si="482"/>
        <v>64735.42</v>
      </c>
      <c r="P596" s="14">
        <f t="shared" si="482"/>
        <v>80568.75</v>
      </c>
      <c r="Q596" s="14">
        <f>SUM(Q593:Q595)</f>
        <v>792908.37</v>
      </c>
      <c r="R596" s="14">
        <f t="shared" ref="R596:AC596" si="483">SUM(R593:R595)</f>
        <v>80818.75</v>
      </c>
      <c r="S596" s="14">
        <f t="shared" si="483"/>
        <v>80568.75</v>
      </c>
      <c r="T596" s="14">
        <f t="shared" si="483"/>
        <v>80568.75</v>
      </c>
      <c r="U596" s="14">
        <f t="shared" si="483"/>
        <v>80568.75</v>
      </c>
      <c r="V596" s="14">
        <f t="shared" si="483"/>
        <v>80568.75</v>
      </c>
      <c r="W596" s="14">
        <f t="shared" si="483"/>
        <v>81066.67</v>
      </c>
      <c r="X596" s="14">
        <f t="shared" si="483"/>
        <v>81066.67</v>
      </c>
      <c r="Y596" s="14">
        <f t="shared" si="483"/>
        <v>81066.67</v>
      </c>
      <c r="Z596" s="14">
        <f t="shared" si="483"/>
        <v>81066.67</v>
      </c>
      <c r="AA596" s="14">
        <f t="shared" si="483"/>
        <v>81066.67</v>
      </c>
      <c r="AB596" s="14">
        <f t="shared" si="483"/>
        <v>81066.67</v>
      </c>
      <c r="AC596" s="14">
        <f t="shared" si="483"/>
        <v>106169.79</v>
      </c>
      <c r="AD596" s="14">
        <f>SUM(AD593:AD595)</f>
        <v>995663.56000000017</v>
      </c>
      <c r="AE596" s="14">
        <f>SUM(AE593:AE595)</f>
        <v>106419.79</v>
      </c>
      <c r="AF596" s="14">
        <f>SUM(AF593:AF595)</f>
        <v>106169.79</v>
      </c>
      <c r="AG596" s="14">
        <f t="shared" ref="AG596:AP596" si="484">SUM(AG593:AG595)</f>
        <v>106169.79</v>
      </c>
      <c r="AH596" s="14">
        <f t="shared" si="484"/>
        <v>106169.79</v>
      </c>
      <c r="AI596" s="14">
        <f t="shared" si="484"/>
        <v>106169.79</v>
      </c>
      <c r="AJ596" s="14">
        <f t="shared" si="484"/>
        <v>105666.67</v>
      </c>
      <c r="AK596" s="14">
        <f t="shared" si="484"/>
        <v>105666.67</v>
      </c>
      <c r="AL596" s="14">
        <f t="shared" si="484"/>
        <v>105666.67</v>
      </c>
      <c r="AM596" s="14">
        <f t="shared" si="484"/>
        <v>105666.67</v>
      </c>
      <c r="AN596" s="14">
        <f t="shared" si="484"/>
        <v>105666.67</v>
      </c>
      <c r="AO596" s="14">
        <f t="shared" si="484"/>
        <v>105666.67</v>
      </c>
      <c r="AP596" s="14">
        <f t="shared" si="484"/>
        <v>105163.54</v>
      </c>
      <c r="AQ596" s="22">
        <f>SUM(AQ593:AQ595)</f>
        <v>1270262.51</v>
      </c>
      <c r="AR596" s="22">
        <f t="shared" ref="AR596:BD596" si="485">SUM(AR593:AR595)</f>
        <v>105413.54</v>
      </c>
      <c r="AS596" s="22">
        <f t="shared" si="485"/>
        <v>105163.54</v>
      </c>
      <c r="AT596" s="22">
        <f t="shared" si="485"/>
        <v>105163.54</v>
      </c>
      <c r="AU596" s="22">
        <f t="shared" si="485"/>
        <v>105163.54</v>
      </c>
      <c r="AV596" s="22">
        <f t="shared" si="485"/>
        <v>105163.54</v>
      </c>
      <c r="AW596" s="22">
        <f t="shared" si="485"/>
        <v>106327.09</v>
      </c>
      <c r="AX596" s="22">
        <f t="shared" si="485"/>
        <v>106327.09</v>
      </c>
      <c r="AY596" s="22">
        <f t="shared" si="485"/>
        <v>106327.09</v>
      </c>
      <c r="AZ596" s="22">
        <f t="shared" si="485"/>
        <v>106327.09</v>
      </c>
      <c r="BA596" s="22">
        <f t="shared" si="485"/>
        <v>106327.09</v>
      </c>
      <c r="BB596" s="22">
        <f t="shared" si="485"/>
        <v>106327.09</v>
      </c>
      <c r="BC596" s="22">
        <f t="shared" si="485"/>
        <v>105776.05</v>
      </c>
      <c r="BD596" s="22">
        <f t="shared" si="485"/>
        <v>1269806.29</v>
      </c>
    </row>
    <row r="597" spans="1:56" x14ac:dyDescent="0.3">
      <c r="D597" s="15"/>
    </row>
    <row r="598" spans="1:56" ht="15.5" x14ac:dyDescent="0.35">
      <c r="B598" s="20">
        <f>+B592+1</f>
        <v>67</v>
      </c>
      <c r="C598" s="1" t="s">
        <v>14</v>
      </c>
      <c r="D598" s="25" t="s">
        <v>290</v>
      </c>
    </row>
    <row r="599" spans="1:56" x14ac:dyDescent="0.3">
      <c r="D599" s="8" t="s">
        <v>8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f>SUM(E599:P599)</f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f>SUM(R599:AC599)</f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0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2">
        <v>0</v>
      </c>
      <c r="AQ599" s="3">
        <f>SUM(AE599:AP599)</f>
        <v>0</v>
      </c>
      <c r="AR599" s="3">
        <v>0</v>
      </c>
      <c r="AS599" s="3">
        <v>0</v>
      </c>
      <c r="AT599" s="3">
        <v>0</v>
      </c>
      <c r="AU599" s="3">
        <v>0</v>
      </c>
      <c r="AV599" s="3">
        <v>0</v>
      </c>
      <c r="AW599" s="3">
        <v>0</v>
      </c>
      <c r="AX599" s="3">
        <v>0</v>
      </c>
      <c r="AY599" s="3">
        <v>0</v>
      </c>
      <c r="AZ599" s="3">
        <v>0</v>
      </c>
      <c r="BA599" s="3">
        <v>0</v>
      </c>
      <c r="BB599" s="3">
        <v>0</v>
      </c>
      <c r="BC599" s="3">
        <v>0</v>
      </c>
      <c r="BD599" s="3">
        <f>SUM(AR599:BC599)</f>
        <v>0</v>
      </c>
    </row>
    <row r="600" spans="1:56" x14ac:dyDescent="0.3">
      <c r="D600" s="8" t="s">
        <v>9</v>
      </c>
      <c r="E600" s="11">
        <v>250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2">
        <f>SUM(E600:P600)</f>
        <v>250</v>
      </c>
      <c r="R600" s="11">
        <v>250</v>
      </c>
      <c r="AD600" s="12">
        <f>SUM(R600:AC600)</f>
        <v>250</v>
      </c>
      <c r="AE600" s="11">
        <v>250</v>
      </c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3">
        <f>SUM(AE600:AP600)</f>
        <v>250</v>
      </c>
      <c r="AR600" s="3">
        <v>250</v>
      </c>
      <c r="AS600" s="3">
        <v>0</v>
      </c>
      <c r="AT600" s="3">
        <v>0</v>
      </c>
      <c r="AU600" s="3">
        <v>0</v>
      </c>
      <c r="AV600" s="3">
        <v>0</v>
      </c>
      <c r="AW600" s="3">
        <v>0</v>
      </c>
      <c r="AX600" s="3">
        <v>0</v>
      </c>
      <c r="AY600" s="3">
        <v>0</v>
      </c>
      <c r="AZ600" s="3">
        <v>0</v>
      </c>
      <c r="BA600" s="3">
        <v>0</v>
      </c>
      <c r="BB600" s="3">
        <v>0</v>
      </c>
      <c r="BC600" s="3">
        <v>0</v>
      </c>
      <c r="BD600" s="3">
        <f>SUM(AR600:BC600)</f>
        <v>250</v>
      </c>
    </row>
    <row r="601" spans="1:56" ht="13.5" thickBot="1" x14ac:dyDescent="0.35">
      <c r="A601" t="s">
        <v>291</v>
      </c>
      <c r="D601" s="8" t="s">
        <v>10</v>
      </c>
      <c r="E601" s="11">
        <v>45642.84</v>
      </c>
      <c r="F601" s="11">
        <v>45642.84</v>
      </c>
      <c r="G601" s="11">
        <v>45642.82</v>
      </c>
      <c r="H601" s="11">
        <v>32347.64</v>
      </c>
      <c r="I601" s="11">
        <v>32347.64</v>
      </c>
      <c r="J601" s="11">
        <v>32347.65</v>
      </c>
      <c r="K601" s="11">
        <v>37373.120000000003</v>
      </c>
      <c r="L601" s="11">
        <v>37373.120000000003</v>
      </c>
      <c r="M601" s="11">
        <v>37373.14</v>
      </c>
      <c r="N601" s="11">
        <v>35571.25</v>
      </c>
      <c r="O601" s="11">
        <v>35571.25</v>
      </c>
      <c r="P601" s="11">
        <v>35571.25</v>
      </c>
      <c r="Q601" s="12">
        <f>SUM(E601:P601)</f>
        <v>452804.56000000006</v>
      </c>
      <c r="R601" s="11">
        <v>33781.67</v>
      </c>
      <c r="S601" s="11">
        <v>33781.67</v>
      </c>
      <c r="T601" s="11">
        <v>33781.67</v>
      </c>
      <c r="U601" s="11">
        <v>33671.040000000001</v>
      </c>
      <c r="V601" s="11">
        <v>33671.040000000001</v>
      </c>
      <c r="W601" s="11">
        <v>33671.050000000003</v>
      </c>
      <c r="X601" s="11">
        <v>46893.75</v>
      </c>
      <c r="Y601" s="11">
        <v>46893.75</v>
      </c>
      <c r="Z601" s="11">
        <v>46893.760000000002</v>
      </c>
      <c r="AA601" s="11">
        <v>35018.129999999997</v>
      </c>
      <c r="AB601" s="11">
        <v>24794.17</v>
      </c>
      <c r="AC601" s="11">
        <v>24794.16</v>
      </c>
      <c r="AD601" s="12">
        <f>SUM(R601:AC601)</f>
        <v>427645.86</v>
      </c>
      <c r="AE601" s="12">
        <v>24708.13</v>
      </c>
      <c r="AF601" s="12">
        <v>24708.13</v>
      </c>
      <c r="AG601" s="12">
        <v>24708.12</v>
      </c>
      <c r="AH601" s="12">
        <v>24622.09</v>
      </c>
      <c r="AI601" s="12">
        <v>24622.09</v>
      </c>
      <c r="AJ601" s="12">
        <v>24622.07</v>
      </c>
      <c r="AK601" s="12">
        <v>37869.379999999997</v>
      </c>
      <c r="AL601" s="12">
        <v>37869.379999999997</v>
      </c>
      <c r="AM601" s="12">
        <v>37869.370000000003</v>
      </c>
      <c r="AN601" s="12">
        <v>24351.67</v>
      </c>
      <c r="AO601" s="12">
        <v>24351.67</v>
      </c>
      <c r="AP601" s="12">
        <v>24351.67</v>
      </c>
      <c r="AQ601" s="3">
        <f>SUM(AE601:AP601)</f>
        <v>334653.76999999996</v>
      </c>
      <c r="AR601" s="3">
        <f>11666.67+12598.96</f>
        <v>24265.629999999997</v>
      </c>
      <c r="AS601" s="3">
        <f>11166.67+12598.96</f>
        <v>23765.629999999997</v>
      </c>
      <c r="AT601" s="3">
        <f>11666.66+12598.96</f>
        <v>24265.62</v>
      </c>
      <c r="AU601" s="3">
        <f>11666.67+12512.92+500</f>
        <v>24679.59</v>
      </c>
      <c r="AV601" s="3">
        <f>11666.67+12512.92</f>
        <v>24179.59</v>
      </c>
      <c r="AW601" s="3">
        <f>11666.66+12512.92</f>
        <v>24179.58</v>
      </c>
      <c r="AX601" s="3">
        <f>21666.67+12426.88</f>
        <v>34093.549999999996</v>
      </c>
      <c r="AY601" s="3">
        <f>21666.67+12426.88</f>
        <v>34093.549999999996</v>
      </c>
      <c r="AZ601" s="3">
        <f>21666.66+12426.87</f>
        <v>34093.53</v>
      </c>
      <c r="BA601" s="3">
        <f>11666.67+12267.08</f>
        <v>23933.75</v>
      </c>
      <c r="BB601" s="3">
        <f>11666.67+12267.08</f>
        <v>23933.75</v>
      </c>
      <c r="BC601" s="3">
        <f>11666.66+12267.09</f>
        <v>23933.75</v>
      </c>
      <c r="BD601" s="3">
        <f>SUM(AR601:BC601)</f>
        <v>319417.51999999996</v>
      </c>
    </row>
    <row r="602" spans="1:56" ht="13.5" thickBot="1" x14ac:dyDescent="0.35">
      <c r="D602" s="13" t="s">
        <v>292</v>
      </c>
      <c r="E602" s="14">
        <f t="shared" ref="E602:P602" si="486">SUM(E599:E601)</f>
        <v>45892.84</v>
      </c>
      <c r="F602" s="14">
        <f t="shared" si="486"/>
        <v>45642.84</v>
      </c>
      <c r="G602" s="14">
        <f t="shared" si="486"/>
        <v>45642.82</v>
      </c>
      <c r="H602" s="14">
        <f t="shared" si="486"/>
        <v>32347.64</v>
      </c>
      <c r="I602" s="14">
        <f t="shared" si="486"/>
        <v>32347.64</v>
      </c>
      <c r="J602" s="14">
        <f t="shared" si="486"/>
        <v>32347.65</v>
      </c>
      <c r="K602" s="14">
        <f t="shared" si="486"/>
        <v>37373.120000000003</v>
      </c>
      <c r="L602" s="14">
        <f t="shared" si="486"/>
        <v>37373.120000000003</v>
      </c>
      <c r="M602" s="14">
        <f t="shared" si="486"/>
        <v>37373.14</v>
      </c>
      <c r="N602" s="14">
        <f t="shared" si="486"/>
        <v>35571.25</v>
      </c>
      <c r="O602" s="14">
        <f t="shared" si="486"/>
        <v>35571.25</v>
      </c>
      <c r="P602" s="14">
        <f t="shared" si="486"/>
        <v>35571.25</v>
      </c>
      <c r="Q602" s="14">
        <f>SUM(Q599:Q601)</f>
        <v>453054.56000000006</v>
      </c>
      <c r="R602" s="14">
        <f t="shared" ref="R602:AC602" si="487">SUM(R599:R601)</f>
        <v>34031.67</v>
      </c>
      <c r="S602" s="14">
        <f t="shared" si="487"/>
        <v>33781.67</v>
      </c>
      <c r="T602" s="14">
        <f t="shared" si="487"/>
        <v>33781.67</v>
      </c>
      <c r="U602" s="14">
        <f t="shared" si="487"/>
        <v>33671.040000000001</v>
      </c>
      <c r="V602" s="14">
        <f t="shared" si="487"/>
        <v>33671.040000000001</v>
      </c>
      <c r="W602" s="14">
        <f t="shared" si="487"/>
        <v>33671.050000000003</v>
      </c>
      <c r="X602" s="14">
        <f t="shared" si="487"/>
        <v>46893.75</v>
      </c>
      <c r="Y602" s="14">
        <f t="shared" si="487"/>
        <v>46893.75</v>
      </c>
      <c r="Z602" s="14">
        <f t="shared" si="487"/>
        <v>46893.760000000002</v>
      </c>
      <c r="AA602" s="14">
        <f t="shared" si="487"/>
        <v>35018.129999999997</v>
      </c>
      <c r="AB602" s="14">
        <f t="shared" si="487"/>
        <v>24794.17</v>
      </c>
      <c r="AC602" s="14">
        <f t="shared" si="487"/>
        <v>24794.16</v>
      </c>
      <c r="AD602" s="14">
        <f>SUM(AD599:AD601)</f>
        <v>427895.86</v>
      </c>
      <c r="AE602" s="14">
        <f>SUM(AE599:AE601)</f>
        <v>24958.13</v>
      </c>
      <c r="AF602" s="14">
        <f>SUM(AF599:AF601)</f>
        <v>24708.13</v>
      </c>
      <c r="AG602" s="14">
        <f t="shared" ref="AG602:AP602" si="488">SUM(AG599:AG601)</f>
        <v>24708.12</v>
      </c>
      <c r="AH602" s="14">
        <f t="shared" si="488"/>
        <v>24622.09</v>
      </c>
      <c r="AI602" s="14">
        <f t="shared" si="488"/>
        <v>24622.09</v>
      </c>
      <c r="AJ602" s="14">
        <f t="shared" si="488"/>
        <v>24622.07</v>
      </c>
      <c r="AK602" s="14">
        <f t="shared" si="488"/>
        <v>37869.379999999997</v>
      </c>
      <c r="AL602" s="14">
        <f t="shared" si="488"/>
        <v>37869.379999999997</v>
      </c>
      <c r="AM602" s="14">
        <f t="shared" si="488"/>
        <v>37869.370000000003</v>
      </c>
      <c r="AN602" s="14">
        <f t="shared" si="488"/>
        <v>24351.67</v>
      </c>
      <c r="AO602" s="14">
        <f t="shared" si="488"/>
        <v>24351.67</v>
      </c>
      <c r="AP602" s="14">
        <f t="shared" si="488"/>
        <v>24351.67</v>
      </c>
      <c r="AQ602" s="22">
        <f>SUM(AQ599:AQ601)</f>
        <v>334903.76999999996</v>
      </c>
      <c r="AR602" s="22">
        <f t="shared" ref="AR602:BD602" si="489">SUM(AR599:AR601)</f>
        <v>24515.629999999997</v>
      </c>
      <c r="AS602" s="22">
        <f t="shared" si="489"/>
        <v>23765.629999999997</v>
      </c>
      <c r="AT602" s="22">
        <f t="shared" si="489"/>
        <v>24265.62</v>
      </c>
      <c r="AU602" s="22">
        <f t="shared" si="489"/>
        <v>24679.59</v>
      </c>
      <c r="AV602" s="22">
        <f t="shared" si="489"/>
        <v>24179.59</v>
      </c>
      <c r="AW602" s="22">
        <f t="shared" si="489"/>
        <v>24179.58</v>
      </c>
      <c r="AX602" s="22">
        <f t="shared" si="489"/>
        <v>34093.549999999996</v>
      </c>
      <c r="AY602" s="22">
        <f t="shared" si="489"/>
        <v>34093.549999999996</v>
      </c>
      <c r="AZ602" s="22">
        <f t="shared" si="489"/>
        <v>34093.53</v>
      </c>
      <c r="BA602" s="22">
        <f t="shared" si="489"/>
        <v>23933.75</v>
      </c>
      <c r="BB602" s="22">
        <f t="shared" si="489"/>
        <v>23933.75</v>
      </c>
      <c r="BC602" s="22">
        <f t="shared" si="489"/>
        <v>23933.75</v>
      </c>
      <c r="BD602" s="22">
        <f t="shared" si="489"/>
        <v>319667.51999999996</v>
      </c>
    </row>
    <row r="603" spans="1:56" x14ac:dyDescent="0.3">
      <c r="D603" s="15"/>
    </row>
    <row r="604" spans="1:56" ht="15.5" x14ac:dyDescent="0.35">
      <c r="B604" s="20">
        <f>+B598+1</f>
        <v>68</v>
      </c>
      <c r="C604" s="1" t="s">
        <v>14</v>
      </c>
      <c r="D604" s="25" t="s">
        <v>293</v>
      </c>
    </row>
    <row r="605" spans="1:56" x14ac:dyDescent="0.3">
      <c r="D605" s="8" t="s">
        <v>8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f>SUM(E605:P605)</f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f>SUM(R605:AC605)</f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12">
        <v>0</v>
      </c>
      <c r="AN605" s="12">
        <v>0</v>
      </c>
      <c r="AO605" s="12">
        <v>0</v>
      </c>
      <c r="AP605" s="12">
        <v>0</v>
      </c>
      <c r="AQ605" s="3">
        <f>SUM(AE605:AP605)</f>
        <v>0</v>
      </c>
      <c r="AR605" s="3">
        <v>0</v>
      </c>
      <c r="AS605" s="3">
        <v>0</v>
      </c>
      <c r="AT605" s="3">
        <v>0</v>
      </c>
      <c r="AU605" s="3">
        <v>0</v>
      </c>
      <c r="AV605" s="3">
        <v>0</v>
      </c>
      <c r="AW605" s="3">
        <v>0</v>
      </c>
      <c r="AX605" s="3">
        <v>0</v>
      </c>
      <c r="AY605" s="3">
        <v>0</v>
      </c>
      <c r="AZ605" s="3">
        <v>0</v>
      </c>
      <c r="BA605" s="3">
        <v>0</v>
      </c>
      <c r="BB605" s="3">
        <v>0</v>
      </c>
      <c r="BC605" s="3">
        <v>0</v>
      </c>
      <c r="BD605" s="3">
        <f>SUM(AR605:BC605)</f>
        <v>0</v>
      </c>
    </row>
    <row r="606" spans="1:56" x14ac:dyDescent="0.3">
      <c r="D606" s="8" t="s">
        <v>9</v>
      </c>
      <c r="E606" s="11">
        <v>250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2">
        <f>SUM(E606:P606)</f>
        <v>250</v>
      </c>
      <c r="R606" s="11">
        <v>250</v>
      </c>
      <c r="AD606" s="12">
        <f>SUM(R606:AC606)</f>
        <v>250</v>
      </c>
      <c r="AE606" s="11">
        <v>250</v>
      </c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3">
        <f>SUM(AE606:AP606)</f>
        <v>250</v>
      </c>
      <c r="AR606" s="3">
        <v>250</v>
      </c>
      <c r="AS606" s="3">
        <v>0</v>
      </c>
      <c r="AT606" s="3">
        <v>0</v>
      </c>
      <c r="AU606" s="3">
        <v>0</v>
      </c>
      <c r="AV606" s="3">
        <v>0</v>
      </c>
      <c r="AW606" s="3">
        <v>0</v>
      </c>
      <c r="AX606" s="3">
        <v>0</v>
      </c>
      <c r="AY606" s="3">
        <v>0</v>
      </c>
      <c r="AZ606" s="3">
        <v>0</v>
      </c>
      <c r="BA606" s="3">
        <v>0</v>
      </c>
      <c r="BB606" s="3">
        <v>0</v>
      </c>
      <c r="BC606" s="3">
        <v>0</v>
      </c>
      <c r="BD606" s="3">
        <f>SUM(AR606:BC606)</f>
        <v>250</v>
      </c>
    </row>
    <row r="607" spans="1:56" ht="13.5" thickBot="1" x14ac:dyDescent="0.35">
      <c r="A607" t="s">
        <v>294</v>
      </c>
      <c r="D607" s="8" t="s">
        <v>10</v>
      </c>
      <c r="E607" s="11">
        <v>55644.27</v>
      </c>
      <c r="F607" s="11">
        <v>55644.27</v>
      </c>
      <c r="G607" s="11">
        <v>55644.27</v>
      </c>
      <c r="H607" s="11">
        <v>55644.27</v>
      </c>
      <c r="I607" s="11">
        <v>55644.27</v>
      </c>
      <c r="J607" s="11">
        <v>55644.26</v>
      </c>
      <c r="K607" s="11">
        <v>133689.06</v>
      </c>
      <c r="L607" s="11">
        <v>133689.06</v>
      </c>
      <c r="M607" s="11">
        <v>133689.06</v>
      </c>
      <c r="N607" s="11">
        <v>133689.06</v>
      </c>
      <c r="O607" s="11">
        <v>133689.06</v>
      </c>
      <c r="P607" s="11">
        <v>133689.07999999999</v>
      </c>
      <c r="Q607" s="12">
        <f>SUM(E607:P607)</f>
        <v>1135999.9900000002</v>
      </c>
      <c r="R607" s="11">
        <f>9166.67+133689.06</f>
        <v>142855.73000000001</v>
      </c>
      <c r="S607" s="11">
        <f t="shared" ref="S607:AB607" si="490">9166.67+133689.06</f>
        <v>142855.73000000001</v>
      </c>
      <c r="T607" s="11">
        <f t="shared" si="490"/>
        <v>142855.73000000001</v>
      </c>
      <c r="U607" s="11">
        <f t="shared" si="490"/>
        <v>142855.73000000001</v>
      </c>
      <c r="V607" s="11">
        <f t="shared" si="490"/>
        <v>142855.73000000001</v>
      </c>
      <c r="W607" s="11">
        <f>9166.67+133689.08</f>
        <v>142855.75</v>
      </c>
      <c r="X607" s="11">
        <f t="shared" si="490"/>
        <v>142855.73000000001</v>
      </c>
      <c r="Y607" s="11">
        <f t="shared" si="490"/>
        <v>142855.73000000001</v>
      </c>
      <c r="Z607" s="11">
        <f t="shared" si="490"/>
        <v>142855.73000000001</v>
      </c>
      <c r="AA607" s="11">
        <f t="shared" si="490"/>
        <v>142855.73000000001</v>
      </c>
      <c r="AB607" s="11">
        <f t="shared" si="490"/>
        <v>142855.73000000001</v>
      </c>
      <c r="AC607" s="11">
        <f>9166.63+133689.08</f>
        <v>142855.71</v>
      </c>
      <c r="AD607" s="12">
        <f>SUM(R607:AC607)</f>
        <v>1714268.76</v>
      </c>
      <c r="AE607" s="12">
        <f>45416.67+133145.84</f>
        <v>178562.51</v>
      </c>
      <c r="AF607" s="12">
        <f t="shared" ref="AF607:AO607" si="491">45416.67+133145.84</f>
        <v>178562.51</v>
      </c>
      <c r="AG607" s="12">
        <f t="shared" si="491"/>
        <v>178562.51</v>
      </c>
      <c r="AH607" s="12">
        <f t="shared" si="491"/>
        <v>178562.51</v>
      </c>
      <c r="AI607" s="12">
        <f t="shared" si="491"/>
        <v>178562.51</v>
      </c>
      <c r="AJ607" s="12">
        <f>45416.67+133145.81</f>
        <v>178562.47999999998</v>
      </c>
      <c r="AK607" s="12">
        <f t="shared" si="491"/>
        <v>178562.51</v>
      </c>
      <c r="AL607" s="12">
        <f t="shared" si="491"/>
        <v>178562.51</v>
      </c>
      <c r="AM607" s="12">
        <f t="shared" si="491"/>
        <v>178562.51</v>
      </c>
      <c r="AN607" s="12">
        <f t="shared" si="491"/>
        <v>178562.51</v>
      </c>
      <c r="AO607" s="12">
        <f t="shared" si="491"/>
        <v>178562.51</v>
      </c>
      <c r="AP607" s="12">
        <f>45416.63+133145.81</f>
        <v>178562.44</v>
      </c>
      <c r="AQ607" s="3">
        <f>SUM(AE607:AP607)</f>
        <v>2142750.02</v>
      </c>
      <c r="AR607" s="3">
        <f>47500+131158.86</f>
        <v>178658.86</v>
      </c>
      <c r="AS607" s="3">
        <f t="shared" ref="AS607:AV607" si="492">47500+131158.86</f>
        <v>178658.86</v>
      </c>
      <c r="AT607" s="3">
        <f t="shared" si="492"/>
        <v>178658.86</v>
      </c>
      <c r="AU607" s="3">
        <f t="shared" si="492"/>
        <v>178658.86</v>
      </c>
      <c r="AV607" s="3">
        <f t="shared" si="492"/>
        <v>178658.86</v>
      </c>
      <c r="AW607" s="3">
        <f>47500+131158.83</f>
        <v>178658.83</v>
      </c>
      <c r="AX607" s="3">
        <f>47500+131158.86</f>
        <v>178658.86</v>
      </c>
      <c r="AY607" s="3">
        <f t="shared" ref="AY607:BB607" si="493">47500+131158.86</f>
        <v>178658.86</v>
      </c>
      <c r="AZ607" s="3">
        <f t="shared" si="493"/>
        <v>178658.86</v>
      </c>
      <c r="BA607" s="3">
        <f t="shared" si="493"/>
        <v>178658.86</v>
      </c>
      <c r="BB607" s="3">
        <f t="shared" si="493"/>
        <v>178658.86</v>
      </c>
      <c r="BC607" s="3">
        <f>47500+131158.83</f>
        <v>178658.83</v>
      </c>
      <c r="BD607" s="3">
        <f>SUM(AR607:BC607)</f>
        <v>2143906.2599999993</v>
      </c>
    </row>
    <row r="608" spans="1:56" ht="13.5" thickBot="1" x14ac:dyDescent="0.35">
      <c r="D608" s="13" t="s">
        <v>295</v>
      </c>
      <c r="E608" s="14">
        <f t="shared" ref="E608:P608" si="494">SUM(E605:E607)</f>
        <v>55894.27</v>
      </c>
      <c r="F608" s="14">
        <f t="shared" si="494"/>
        <v>55644.27</v>
      </c>
      <c r="G608" s="14">
        <f t="shared" si="494"/>
        <v>55644.27</v>
      </c>
      <c r="H608" s="14">
        <f t="shared" si="494"/>
        <v>55644.27</v>
      </c>
      <c r="I608" s="14">
        <f t="shared" si="494"/>
        <v>55644.27</v>
      </c>
      <c r="J608" s="14">
        <f t="shared" si="494"/>
        <v>55644.26</v>
      </c>
      <c r="K608" s="14">
        <f t="shared" si="494"/>
        <v>133689.06</v>
      </c>
      <c r="L608" s="14">
        <f t="shared" si="494"/>
        <v>133689.06</v>
      </c>
      <c r="M608" s="14">
        <f t="shared" si="494"/>
        <v>133689.06</v>
      </c>
      <c r="N608" s="14">
        <f t="shared" si="494"/>
        <v>133689.06</v>
      </c>
      <c r="O608" s="14">
        <f t="shared" si="494"/>
        <v>133689.06</v>
      </c>
      <c r="P608" s="14">
        <f t="shared" si="494"/>
        <v>133689.07999999999</v>
      </c>
      <c r="Q608" s="14">
        <f>SUM(Q605:Q607)</f>
        <v>1136249.9900000002</v>
      </c>
      <c r="R608" s="14">
        <f t="shared" ref="R608:AC608" si="495">SUM(R605:R607)</f>
        <v>143105.73000000001</v>
      </c>
      <c r="S608" s="14">
        <f t="shared" si="495"/>
        <v>142855.73000000001</v>
      </c>
      <c r="T608" s="14">
        <f t="shared" si="495"/>
        <v>142855.73000000001</v>
      </c>
      <c r="U608" s="14">
        <f t="shared" si="495"/>
        <v>142855.73000000001</v>
      </c>
      <c r="V608" s="14">
        <f t="shared" si="495"/>
        <v>142855.73000000001</v>
      </c>
      <c r="W608" s="14">
        <f t="shared" si="495"/>
        <v>142855.75</v>
      </c>
      <c r="X608" s="14">
        <f t="shared" si="495"/>
        <v>142855.73000000001</v>
      </c>
      <c r="Y608" s="14">
        <f t="shared" si="495"/>
        <v>142855.73000000001</v>
      </c>
      <c r="Z608" s="14">
        <f t="shared" si="495"/>
        <v>142855.73000000001</v>
      </c>
      <c r="AA608" s="14">
        <f t="shared" si="495"/>
        <v>142855.73000000001</v>
      </c>
      <c r="AB608" s="14">
        <f t="shared" si="495"/>
        <v>142855.73000000001</v>
      </c>
      <c r="AC608" s="14">
        <f t="shared" si="495"/>
        <v>142855.71</v>
      </c>
      <c r="AD608" s="14">
        <f>SUM(AD605:AD607)</f>
        <v>1714518.76</v>
      </c>
      <c r="AE608" s="14">
        <f>SUM(AE605:AE607)</f>
        <v>178812.51</v>
      </c>
      <c r="AF608" s="14">
        <f>SUM(AF605:AF607)</f>
        <v>178562.51</v>
      </c>
      <c r="AG608" s="14">
        <f t="shared" ref="AG608:AP608" si="496">SUM(AG605:AG607)</f>
        <v>178562.51</v>
      </c>
      <c r="AH608" s="14">
        <f t="shared" si="496"/>
        <v>178562.51</v>
      </c>
      <c r="AI608" s="14">
        <f t="shared" si="496"/>
        <v>178562.51</v>
      </c>
      <c r="AJ608" s="14">
        <f t="shared" si="496"/>
        <v>178562.47999999998</v>
      </c>
      <c r="AK608" s="14">
        <f t="shared" si="496"/>
        <v>178562.51</v>
      </c>
      <c r="AL608" s="14">
        <f t="shared" si="496"/>
        <v>178562.51</v>
      </c>
      <c r="AM608" s="14">
        <f t="shared" si="496"/>
        <v>178562.51</v>
      </c>
      <c r="AN608" s="14">
        <f t="shared" si="496"/>
        <v>178562.51</v>
      </c>
      <c r="AO608" s="14">
        <f t="shared" si="496"/>
        <v>178562.51</v>
      </c>
      <c r="AP608" s="14">
        <f t="shared" si="496"/>
        <v>178562.44</v>
      </c>
      <c r="AQ608" s="22">
        <f>SUM(AQ605:AQ607)</f>
        <v>2143000.02</v>
      </c>
      <c r="AR608" s="22">
        <f t="shared" ref="AR608:BD608" si="497">SUM(AR605:AR607)</f>
        <v>178908.86</v>
      </c>
      <c r="AS608" s="22">
        <f t="shared" si="497"/>
        <v>178658.86</v>
      </c>
      <c r="AT608" s="22">
        <f t="shared" si="497"/>
        <v>178658.86</v>
      </c>
      <c r="AU608" s="22">
        <f t="shared" si="497"/>
        <v>178658.86</v>
      </c>
      <c r="AV608" s="22">
        <f t="shared" si="497"/>
        <v>178658.86</v>
      </c>
      <c r="AW608" s="22">
        <f t="shared" si="497"/>
        <v>178658.83</v>
      </c>
      <c r="AX608" s="22">
        <f t="shared" si="497"/>
        <v>178658.86</v>
      </c>
      <c r="AY608" s="22">
        <f t="shared" si="497"/>
        <v>178658.86</v>
      </c>
      <c r="AZ608" s="22">
        <f t="shared" si="497"/>
        <v>178658.86</v>
      </c>
      <c r="BA608" s="22">
        <f t="shared" si="497"/>
        <v>178658.86</v>
      </c>
      <c r="BB608" s="22">
        <f t="shared" si="497"/>
        <v>178658.86</v>
      </c>
      <c r="BC608" s="22">
        <f t="shared" si="497"/>
        <v>178658.83</v>
      </c>
      <c r="BD608" s="22">
        <f t="shared" si="497"/>
        <v>2144156.2599999993</v>
      </c>
    </row>
    <row r="609" spans="1:56" x14ac:dyDescent="0.3">
      <c r="D609" s="15"/>
    </row>
    <row r="610" spans="1:56" ht="15.5" x14ac:dyDescent="0.35">
      <c r="B610" s="20">
        <f>+B604+1</f>
        <v>69</v>
      </c>
      <c r="C610" s="1" t="s">
        <v>14</v>
      </c>
      <c r="D610" s="25" t="s">
        <v>296</v>
      </c>
    </row>
    <row r="611" spans="1:56" x14ac:dyDescent="0.3">
      <c r="D611" s="8" t="s">
        <v>8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f>SUM(E611:P611)</f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f>SUM(R611:AC611)</f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12">
        <v>0</v>
      </c>
      <c r="AN611" s="12">
        <v>0</v>
      </c>
      <c r="AO611" s="12">
        <v>0</v>
      </c>
      <c r="AP611" s="12">
        <v>0</v>
      </c>
      <c r="AQ611" s="3">
        <f>SUM(AE611:AP611)</f>
        <v>0</v>
      </c>
      <c r="AR611" s="3">
        <v>0</v>
      </c>
      <c r="AS611" s="3">
        <v>0</v>
      </c>
      <c r="AT611" s="3">
        <v>0</v>
      </c>
      <c r="AU611" s="3">
        <v>0</v>
      </c>
      <c r="AV611" s="3">
        <v>0</v>
      </c>
      <c r="AW611" s="3">
        <v>0</v>
      </c>
      <c r="AX611" s="3">
        <v>0</v>
      </c>
      <c r="AY611" s="3">
        <v>0</v>
      </c>
      <c r="AZ611" s="3">
        <v>0</v>
      </c>
      <c r="BA611" s="3">
        <v>0</v>
      </c>
      <c r="BB611" s="3">
        <v>0</v>
      </c>
      <c r="BC611" s="3">
        <v>0</v>
      </c>
      <c r="BD611" s="3">
        <f>SUM(AR611:BC611)</f>
        <v>0</v>
      </c>
    </row>
    <row r="612" spans="1:56" x14ac:dyDescent="0.3">
      <c r="D612" s="8" t="s">
        <v>9</v>
      </c>
      <c r="E612" s="11">
        <v>250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2">
        <f>SUM(E612:P612)</f>
        <v>250</v>
      </c>
      <c r="R612" s="11">
        <v>250</v>
      </c>
      <c r="AD612" s="12">
        <f>SUM(R612:AC612)</f>
        <v>250</v>
      </c>
      <c r="AE612" s="11">
        <v>250</v>
      </c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3">
        <f>SUM(AE612:AP612)</f>
        <v>250</v>
      </c>
      <c r="AR612" s="3">
        <v>250</v>
      </c>
      <c r="AS612" s="3">
        <v>0</v>
      </c>
      <c r="AT612" s="3">
        <v>0</v>
      </c>
      <c r="AU612" s="3">
        <v>0</v>
      </c>
      <c r="AV612" s="3">
        <v>0</v>
      </c>
      <c r="AW612" s="3">
        <v>0</v>
      </c>
      <c r="AX612" s="3">
        <v>0</v>
      </c>
      <c r="AY612" s="3">
        <v>0</v>
      </c>
      <c r="AZ612" s="3">
        <v>0</v>
      </c>
      <c r="BA612" s="3">
        <v>0</v>
      </c>
      <c r="BB612" s="3">
        <v>0</v>
      </c>
      <c r="BC612" s="3">
        <v>0</v>
      </c>
      <c r="BD612" s="3">
        <f>SUM(AR612:BC612)</f>
        <v>250</v>
      </c>
    </row>
    <row r="613" spans="1:56" ht="13.5" thickBot="1" x14ac:dyDescent="0.35">
      <c r="A613" t="s">
        <v>297</v>
      </c>
      <c r="D613" s="8" t="s">
        <v>10</v>
      </c>
      <c r="E613" s="11">
        <f>12500+89195.31</f>
        <v>101695.31</v>
      </c>
      <c r="F613" s="11">
        <f t="shared" ref="F613:O613" si="498">12500+89195.31</f>
        <v>101695.31</v>
      </c>
      <c r="G613" s="11">
        <f t="shared" si="498"/>
        <v>101695.31</v>
      </c>
      <c r="H613" s="11">
        <f t="shared" si="498"/>
        <v>101695.31</v>
      </c>
      <c r="I613" s="11">
        <f t="shared" si="498"/>
        <v>101695.31</v>
      </c>
      <c r="J613" s="11">
        <f>12500+89195.33</f>
        <v>101695.33</v>
      </c>
      <c r="K613" s="11">
        <f t="shared" si="498"/>
        <v>101695.31</v>
      </c>
      <c r="L613" s="11">
        <f t="shared" si="498"/>
        <v>101695.31</v>
      </c>
      <c r="M613" s="11">
        <f t="shared" si="498"/>
        <v>101695.31</v>
      </c>
      <c r="N613" s="11">
        <f t="shared" si="498"/>
        <v>101695.31</v>
      </c>
      <c r="O613" s="11">
        <f t="shared" si="498"/>
        <v>101695.31</v>
      </c>
      <c r="P613" s="11">
        <f>12500+89195.33</f>
        <v>101695.33</v>
      </c>
      <c r="Q613" s="12">
        <f>SUM(E613:P613)</f>
        <v>1220343.7600000002</v>
      </c>
      <c r="R613" s="11">
        <f>22500+88648.44</f>
        <v>111148.44</v>
      </c>
      <c r="S613" s="11">
        <f t="shared" ref="S613:AB613" si="499">22500+88648.44</f>
        <v>111148.44</v>
      </c>
      <c r="T613" s="11">
        <f t="shared" si="499"/>
        <v>111148.44</v>
      </c>
      <c r="U613" s="11">
        <f t="shared" si="499"/>
        <v>111148.44</v>
      </c>
      <c r="V613" s="11">
        <f t="shared" si="499"/>
        <v>111148.44</v>
      </c>
      <c r="W613" s="11">
        <f>22500+88648.43</f>
        <v>111148.43</v>
      </c>
      <c r="X613" s="11">
        <f t="shared" si="499"/>
        <v>111148.44</v>
      </c>
      <c r="Y613" s="11">
        <f t="shared" si="499"/>
        <v>111148.44</v>
      </c>
      <c r="Z613" s="11">
        <f t="shared" si="499"/>
        <v>111148.44</v>
      </c>
      <c r="AA613" s="11">
        <f t="shared" si="499"/>
        <v>111148.44</v>
      </c>
      <c r="AB613" s="11">
        <f t="shared" si="499"/>
        <v>111148.44</v>
      </c>
      <c r="AC613" s="11">
        <f>22500+88648.43</f>
        <v>111148.43</v>
      </c>
      <c r="AD613" s="12">
        <f>SUM(R613:AC613)</f>
        <v>1333781.2599999995</v>
      </c>
      <c r="AE613" s="12">
        <f>30000+87664.06</f>
        <v>117664.06</v>
      </c>
      <c r="AF613" s="12">
        <f t="shared" ref="AF613:AO613" si="500">30000+87664.06</f>
        <v>117664.06</v>
      </c>
      <c r="AG613" s="12">
        <f t="shared" si="500"/>
        <v>117664.06</v>
      </c>
      <c r="AH613" s="12">
        <f t="shared" si="500"/>
        <v>117664.06</v>
      </c>
      <c r="AI613" s="12">
        <f t="shared" si="500"/>
        <v>117664.06</v>
      </c>
      <c r="AJ613" s="12">
        <f>30000+87664.08</f>
        <v>117664.08</v>
      </c>
      <c r="AK613" s="12">
        <f t="shared" si="500"/>
        <v>117664.06</v>
      </c>
      <c r="AL613" s="12">
        <f t="shared" si="500"/>
        <v>117664.06</v>
      </c>
      <c r="AM613" s="12">
        <f t="shared" si="500"/>
        <v>117664.06</v>
      </c>
      <c r="AN613" s="12">
        <f t="shared" si="500"/>
        <v>117664.06</v>
      </c>
      <c r="AO613" s="12">
        <f t="shared" si="500"/>
        <v>117664.06</v>
      </c>
      <c r="AP613" s="12">
        <f>30000+87664.08</f>
        <v>117664.08</v>
      </c>
      <c r="AQ613" s="3">
        <f>SUM(AE613:AP613)</f>
        <v>1411968.7600000002</v>
      </c>
      <c r="AR613" s="3">
        <f>31250+86351.56</f>
        <v>117601.56</v>
      </c>
      <c r="AS613" s="3">
        <f t="shared" ref="AS613:BB613" si="501">31250+86351.56</f>
        <v>117601.56</v>
      </c>
      <c r="AT613" s="3">
        <f t="shared" si="501"/>
        <v>117601.56</v>
      </c>
      <c r="AU613" s="3">
        <f t="shared" si="501"/>
        <v>117601.56</v>
      </c>
      <c r="AV613" s="3">
        <f t="shared" si="501"/>
        <v>117601.56</v>
      </c>
      <c r="AW613" s="3">
        <f>31250+86351.58</f>
        <v>117601.58</v>
      </c>
      <c r="AX613" s="3">
        <f t="shared" si="501"/>
        <v>117601.56</v>
      </c>
      <c r="AY613" s="3">
        <f t="shared" si="501"/>
        <v>117601.56</v>
      </c>
      <c r="AZ613" s="3">
        <f t="shared" si="501"/>
        <v>117601.56</v>
      </c>
      <c r="BA613" s="3">
        <f t="shared" si="501"/>
        <v>117601.56</v>
      </c>
      <c r="BB613" s="3">
        <f t="shared" si="501"/>
        <v>117601.56</v>
      </c>
      <c r="BC613" s="3">
        <f>31250+86351.58</f>
        <v>117601.58</v>
      </c>
      <c r="BD613" s="3">
        <f>SUM(AR613:BC613)</f>
        <v>1411218.7600000002</v>
      </c>
    </row>
    <row r="614" spans="1:56" ht="13.5" thickBot="1" x14ac:dyDescent="0.35">
      <c r="D614" s="13" t="s">
        <v>298</v>
      </c>
      <c r="E614" s="14">
        <f t="shared" ref="E614:P614" si="502">SUM(E611:E613)</f>
        <v>101945.31</v>
      </c>
      <c r="F614" s="14">
        <f t="shared" si="502"/>
        <v>101695.31</v>
      </c>
      <c r="G614" s="14">
        <f t="shared" si="502"/>
        <v>101695.31</v>
      </c>
      <c r="H614" s="14">
        <f t="shared" si="502"/>
        <v>101695.31</v>
      </c>
      <c r="I614" s="14">
        <f t="shared" si="502"/>
        <v>101695.31</v>
      </c>
      <c r="J614" s="14">
        <f t="shared" si="502"/>
        <v>101695.33</v>
      </c>
      <c r="K614" s="14">
        <f t="shared" si="502"/>
        <v>101695.31</v>
      </c>
      <c r="L614" s="14">
        <f t="shared" si="502"/>
        <v>101695.31</v>
      </c>
      <c r="M614" s="14">
        <f t="shared" si="502"/>
        <v>101695.31</v>
      </c>
      <c r="N614" s="14">
        <f t="shared" si="502"/>
        <v>101695.31</v>
      </c>
      <c r="O614" s="14">
        <f t="shared" si="502"/>
        <v>101695.31</v>
      </c>
      <c r="P614" s="14">
        <f t="shared" si="502"/>
        <v>101695.33</v>
      </c>
      <c r="Q614" s="14">
        <f>SUM(Q611:Q613)</f>
        <v>1220593.7600000002</v>
      </c>
      <c r="R614" s="14">
        <f t="shared" ref="R614:AC614" si="503">SUM(R611:R613)</f>
        <v>111398.44</v>
      </c>
      <c r="S614" s="14">
        <f t="shared" si="503"/>
        <v>111148.44</v>
      </c>
      <c r="T614" s="14">
        <f t="shared" si="503"/>
        <v>111148.44</v>
      </c>
      <c r="U614" s="14">
        <f t="shared" si="503"/>
        <v>111148.44</v>
      </c>
      <c r="V614" s="14">
        <f t="shared" si="503"/>
        <v>111148.44</v>
      </c>
      <c r="W614" s="14">
        <f t="shared" si="503"/>
        <v>111148.43</v>
      </c>
      <c r="X614" s="14">
        <f t="shared" si="503"/>
        <v>111148.44</v>
      </c>
      <c r="Y614" s="14">
        <f t="shared" si="503"/>
        <v>111148.44</v>
      </c>
      <c r="Z614" s="14">
        <f t="shared" si="503"/>
        <v>111148.44</v>
      </c>
      <c r="AA614" s="14">
        <f t="shared" si="503"/>
        <v>111148.44</v>
      </c>
      <c r="AB614" s="14">
        <f t="shared" si="503"/>
        <v>111148.44</v>
      </c>
      <c r="AC614" s="14">
        <f t="shared" si="503"/>
        <v>111148.43</v>
      </c>
      <c r="AD614" s="14">
        <f>SUM(AD611:AD613)</f>
        <v>1334031.2599999995</v>
      </c>
      <c r="AE614" s="14">
        <f>SUM(AE611:AE613)</f>
        <v>117914.06</v>
      </c>
      <c r="AF614" s="14">
        <f>SUM(AF611:AF613)</f>
        <v>117664.06</v>
      </c>
      <c r="AG614" s="14">
        <f t="shared" ref="AG614:AP614" si="504">SUM(AG611:AG613)</f>
        <v>117664.06</v>
      </c>
      <c r="AH614" s="14">
        <f t="shared" si="504"/>
        <v>117664.06</v>
      </c>
      <c r="AI614" s="14">
        <f t="shared" si="504"/>
        <v>117664.06</v>
      </c>
      <c r="AJ614" s="14">
        <f t="shared" si="504"/>
        <v>117664.08</v>
      </c>
      <c r="AK614" s="14">
        <f t="shared" si="504"/>
        <v>117664.06</v>
      </c>
      <c r="AL614" s="14">
        <f t="shared" si="504"/>
        <v>117664.06</v>
      </c>
      <c r="AM614" s="14">
        <f t="shared" si="504"/>
        <v>117664.06</v>
      </c>
      <c r="AN614" s="14">
        <f t="shared" si="504"/>
        <v>117664.06</v>
      </c>
      <c r="AO614" s="14">
        <f t="shared" si="504"/>
        <v>117664.06</v>
      </c>
      <c r="AP614" s="14">
        <f t="shared" si="504"/>
        <v>117664.08</v>
      </c>
      <c r="AQ614" s="22">
        <f>SUM(AQ611:AQ613)</f>
        <v>1412218.7600000002</v>
      </c>
      <c r="AR614" s="22">
        <f t="shared" ref="AR614:BD614" si="505">SUM(AR611:AR613)</f>
        <v>117851.56</v>
      </c>
      <c r="AS614" s="22">
        <f t="shared" si="505"/>
        <v>117601.56</v>
      </c>
      <c r="AT614" s="22">
        <f t="shared" si="505"/>
        <v>117601.56</v>
      </c>
      <c r="AU614" s="22">
        <f t="shared" si="505"/>
        <v>117601.56</v>
      </c>
      <c r="AV614" s="22">
        <f t="shared" si="505"/>
        <v>117601.56</v>
      </c>
      <c r="AW614" s="22">
        <f t="shared" si="505"/>
        <v>117601.58</v>
      </c>
      <c r="AX614" s="22">
        <f t="shared" si="505"/>
        <v>117601.56</v>
      </c>
      <c r="AY614" s="22">
        <f t="shared" si="505"/>
        <v>117601.56</v>
      </c>
      <c r="AZ614" s="22">
        <f t="shared" si="505"/>
        <v>117601.56</v>
      </c>
      <c r="BA614" s="22">
        <f t="shared" si="505"/>
        <v>117601.56</v>
      </c>
      <c r="BB614" s="22">
        <f t="shared" si="505"/>
        <v>117601.56</v>
      </c>
      <c r="BC614" s="22">
        <f t="shared" si="505"/>
        <v>117601.58</v>
      </c>
      <c r="BD614" s="22">
        <f t="shared" si="505"/>
        <v>1411468.7600000002</v>
      </c>
    </row>
    <row r="615" spans="1:56" x14ac:dyDescent="0.3">
      <c r="D615" s="15"/>
    </row>
    <row r="616" spans="1:56" ht="15.5" x14ac:dyDescent="0.35">
      <c r="B616" s="20">
        <f>+B610+1</f>
        <v>70</v>
      </c>
      <c r="C616" s="1" t="s">
        <v>14</v>
      </c>
      <c r="D616" s="25" t="s">
        <v>299</v>
      </c>
    </row>
    <row r="617" spans="1:56" x14ac:dyDescent="0.3">
      <c r="D617" s="8" t="s">
        <v>8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f>SUM(E617:P617)</f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f>SUM(R617:AC617)</f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12">
        <v>0</v>
      </c>
      <c r="AN617" s="12">
        <v>0</v>
      </c>
      <c r="AO617" s="12">
        <v>0</v>
      </c>
      <c r="AP617" s="12">
        <v>0</v>
      </c>
      <c r="AQ617" s="3">
        <f>SUM(AE617:AP617)</f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3">
        <v>0</v>
      </c>
      <c r="AY617" s="3">
        <v>0</v>
      </c>
      <c r="AZ617" s="3">
        <v>0</v>
      </c>
      <c r="BA617" s="3">
        <v>0</v>
      </c>
      <c r="BB617" s="3">
        <v>0</v>
      </c>
      <c r="BC617" s="3">
        <v>0</v>
      </c>
      <c r="BD617" s="3">
        <f>SUM(AR617:BC617)</f>
        <v>0</v>
      </c>
    </row>
    <row r="618" spans="1:56" x14ac:dyDescent="0.3">
      <c r="D618" s="8" t="s">
        <v>9</v>
      </c>
      <c r="E618" s="11">
        <v>250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2">
        <f>SUM(E618:P618)</f>
        <v>250</v>
      </c>
      <c r="R618" s="11">
        <v>250</v>
      </c>
      <c r="AD618" s="12">
        <f>SUM(R618:AC618)</f>
        <v>250</v>
      </c>
      <c r="AE618" s="11">
        <v>250</v>
      </c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3">
        <f>SUM(AE618:AP618)</f>
        <v>250</v>
      </c>
      <c r="AR618" s="3">
        <v>250</v>
      </c>
      <c r="AS618" s="3">
        <v>0</v>
      </c>
      <c r="AT618" s="3">
        <v>0</v>
      </c>
      <c r="AU618" s="3">
        <v>0</v>
      </c>
      <c r="AV618" s="3">
        <v>0</v>
      </c>
      <c r="AW618" s="3">
        <v>0</v>
      </c>
      <c r="AX618" s="3">
        <v>0</v>
      </c>
      <c r="AY618" s="3">
        <v>0</v>
      </c>
      <c r="AZ618" s="3">
        <v>0</v>
      </c>
      <c r="BA618" s="3">
        <v>0</v>
      </c>
      <c r="BB618" s="3">
        <v>0</v>
      </c>
      <c r="BC618" s="3">
        <v>0</v>
      </c>
      <c r="BD618" s="3">
        <f>SUM(AR618:BC618)</f>
        <v>250</v>
      </c>
    </row>
    <row r="619" spans="1:56" ht="13.5" thickBot="1" x14ac:dyDescent="0.35">
      <c r="A619" t="s">
        <v>300</v>
      </c>
      <c r="D619" s="8" t="s">
        <v>10</v>
      </c>
      <c r="E619" s="12">
        <f t="shared" ref="E619:N619" si="506">7083.33+11970</f>
        <v>19053.330000000002</v>
      </c>
      <c r="F619" s="12">
        <f t="shared" si="506"/>
        <v>19053.330000000002</v>
      </c>
      <c r="G619" s="12">
        <f t="shared" si="506"/>
        <v>19053.330000000002</v>
      </c>
      <c r="H619" s="12">
        <f t="shared" si="506"/>
        <v>19053.330000000002</v>
      </c>
      <c r="I619" s="12">
        <f t="shared" si="506"/>
        <v>19053.330000000002</v>
      </c>
      <c r="J619" s="12">
        <f t="shared" si="506"/>
        <v>19053.330000000002</v>
      </c>
      <c r="K619" s="12">
        <f t="shared" si="506"/>
        <v>19053.330000000002</v>
      </c>
      <c r="L619" s="12">
        <f t="shared" si="506"/>
        <v>19053.330000000002</v>
      </c>
      <c r="M619" s="12">
        <f t="shared" si="506"/>
        <v>19053.330000000002</v>
      </c>
      <c r="N619" s="12">
        <f t="shared" si="506"/>
        <v>19053.330000000002</v>
      </c>
      <c r="O619" s="12">
        <f>7083.37+11970</f>
        <v>19053.37</v>
      </c>
      <c r="P619" s="11">
        <f>7500+11727.75</f>
        <v>19227.75</v>
      </c>
      <c r="Q619" s="12">
        <f>SUM(E619:P619)</f>
        <v>228814.42000000004</v>
      </c>
      <c r="R619" s="11">
        <f t="shared" ref="R619:AB619" si="507">7500+11727.75</f>
        <v>19227.75</v>
      </c>
      <c r="S619" s="11">
        <f t="shared" si="507"/>
        <v>19227.75</v>
      </c>
      <c r="T619" s="11">
        <f t="shared" si="507"/>
        <v>19227.75</v>
      </c>
      <c r="U619" s="11">
        <f t="shared" si="507"/>
        <v>19227.75</v>
      </c>
      <c r="V619" s="11">
        <f t="shared" si="507"/>
        <v>19227.75</v>
      </c>
      <c r="W619" s="11">
        <f t="shared" si="507"/>
        <v>19227.75</v>
      </c>
      <c r="X619" s="11">
        <f t="shared" si="507"/>
        <v>19227.75</v>
      </c>
      <c r="Y619" s="11">
        <f t="shared" si="507"/>
        <v>19227.75</v>
      </c>
      <c r="Z619" s="11">
        <f t="shared" si="507"/>
        <v>19227.75</v>
      </c>
      <c r="AA619" s="11">
        <f t="shared" si="507"/>
        <v>19227.75</v>
      </c>
      <c r="AB619" s="11">
        <f t="shared" si="507"/>
        <v>19227.75</v>
      </c>
      <c r="AC619" s="11">
        <f>7916.67+11471.25</f>
        <v>19387.919999999998</v>
      </c>
      <c r="AD619" s="12">
        <f>SUM(R619:AC619)</f>
        <v>230893.16999999998</v>
      </c>
      <c r="AE619" s="11">
        <f t="shared" ref="AE619:AN619" si="508">7916.67+11471.25</f>
        <v>19387.919999999998</v>
      </c>
      <c r="AF619" s="11">
        <f t="shared" si="508"/>
        <v>19387.919999999998</v>
      </c>
      <c r="AG619" s="11">
        <f t="shared" si="508"/>
        <v>19387.919999999998</v>
      </c>
      <c r="AH619" s="11">
        <f t="shared" si="508"/>
        <v>19387.919999999998</v>
      </c>
      <c r="AI619" s="11">
        <f t="shared" si="508"/>
        <v>19387.919999999998</v>
      </c>
      <c r="AJ619" s="11">
        <f t="shared" si="508"/>
        <v>19387.919999999998</v>
      </c>
      <c r="AK619" s="11">
        <f t="shared" si="508"/>
        <v>19387.919999999998</v>
      </c>
      <c r="AL619" s="11">
        <f t="shared" si="508"/>
        <v>19387.919999999998</v>
      </c>
      <c r="AM619" s="11">
        <f t="shared" si="508"/>
        <v>19387.919999999998</v>
      </c>
      <c r="AN619" s="11">
        <f t="shared" si="508"/>
        <v>19387.919999999998</v>
      </c>
      <c r="AO619" s="11">
        <f>7916.63+11471.25</f>
        <v>19387.88</v>
      </c>
      <c r="AP619" s="11">
        <f>7916.67+11200.5</f>
        <v>19117.169999999998</v>
      </c>
      <c r="AQ619" s="3">
        <f>SUM(AE619:AP619)</f>
        <v>232384.24999999994</v>
      </c>
      <c r="AR619" s="3">
        <f>7916.67+11200.5</f>
        <v>19117.169999999998</v>
      </c>
      <c r="AS619" s="3">
        <f t="shared" ref="AS619:BA619" si="509">7916.67+11200.5</f>
        <v>19117.169999999998</v>
      </c>
      <c r="AT619" s="3">
        <f t="shared" si="509"/>
        <v>19117.169999999998</v>
      </c>
      <c r="AU619" s="3">
        <f t="shared" si="509"/>
        <v>19117.169999999998</v>
      </c>
      <c r="AV619" s="3">
        <f t="shared" si="509"/>
        <v>19117.169999999998</v>
      </c>
      <c r="AW619" s="3">
        <f t="shared" si="509"/>
        <v>19117.169999999998</v>
      </c>
      <c r="AX619" s="3">
        <f t="shared" si="509"/>
        <v>19117.169999999998</v>
      </c>
      <c r="AY619" s="3">
        <f t="shared" si="509"/>
        <v>19117.169999999998</v>
      </c>
      <c r="AZ619" s="3">
        <f t="shared" si="509"/>
        <v>19117.169999999998</v>
      </c>
      <c r="BA619" s="3">
        <f t="shared" si="509"/>
        <v>19117.169999999998</v>
      </c>
      <c r="BB619" s="3">
        <f>7916.63+11200.5</f>
        <v>19117.13</v>
      </c>
      <c r="BC619" s="3">
        <f>8333.33+10929.75</f>
        <v>19263.080000000002</v>
      </c>
      <c r="BD619" s="3">
        <f>SUM(AR619:BC619)</f>
        <v>229551.90999999997</v>
      </c>
    </row>
    <row r="620" spans="1:56" ht="13.5" thickBot="1" x14ac:dyDescent="0.35">
      <c r="D620" s="13" t="s">
        <v>301</v>
      </c>
      <c r="E620" s="14">
        <f t="shared" ref="E620:P620" si="510">SUM(E617:E619)</f>
        <v>19303.330000000002</v>
      </c>
      <c r="F620" s="14">
        <f t="shared" si="510"/>
        <v>19053.330000000002</v>
      </c>
      <c r="G620" s="14">
        <f t="shared" si="510"/>
        <v>19053.330000000002</v>
      </c>
      <c r="H620" s="14">
        <f t="shared" si="510"/>
        <v>19053.330000000002</v>
      </c>
      <c r="I620" s="14">
        <f t="shared" si="510"/>
        <v>19053.330000000002</v>
      </c>
      <c r="J620" s="14">
        <f t="shared" si="510"/>
        <v>19053.330000000002</v>
      </c>
      <c r="K620" s="14">
        <f t="shared" si="510"/>
        <v>19053.330000000002</v>
      </c>
      <c r="L620" s="14">
        <f t="shared" si="510"/>
        <v>19053.330000000002</v>
      </c>
      <c r="M620" s="14">
        <f t="shared" si="510"/>
        <v>19053.330000000002</v>
      </c>
      <c r="N620" s="14">
        <f t="shared" si="510"/>
        <v>19053.330000000002</v>
      </c>
      <c r="O620" s="14">
        <f t="shared" si="510"/>
        <v>19053.37</v>
      </c>
      <c r="P620" s="14">
        <f t="shared" si="510"/>
        <v>19227.75</v>
      </c>
      <c r="Q620" s="14">
        <f>SUM(Q617:Q619)</f>
        <v>229064.42000000004</v>
      </c>
      <c r="R620" s="14">
        <f t="shared" ref="R620:AC620" si="511">SUM(R617:R619)</f>
        <v>19477.75</v>
      </c>
      <c r="S620" s="14">
        <f t="shared" si="511"/>
        <v>19227.75</v>
      </c>
      <c r="T620" s="14">
        <f t="shared" si="511"/>
        <v>19227.75</v>
      </c>
      <c r="U620" s="14">
        <f t="shared" si="511"/>
        <v>19227.75</v>
      </c>
      <c r="V620" s="14">
        <f t="shared" si="511"/>
        <v>19227.75</v>
      </c>
      <c r="W620" s="14">
        <f t="shared" si="511"/>
        <v>19227.75</v>
      </c>
      <c r="X620" s="14">
        <f t="shared" si="511"/>
        <v>19227.75</v>
      </c>
      <c r="Y620" s="14">
        <f t="shared" si="511"/>
        <v>19227.75</v>
      </c>
      <c r="Z620" s="14">
        <f t="shared" si="511"/>
        <v>19227.75</v>
      </c>
      <c r="AA620" s="14">
        <f t="shared" si="511"/>
        <v>19227.75</v>
      </c>
      <c r="AB620" s="14">
        <f t="shared" si="511"/>
        <v>19227.75</v>
      </c>
      <c r="AC620" s="14">
        <f t="shared" si="511"/>
        <v>19387.919999999998</v>
      </c>
      <c r="AD620" s="14">
        <f>SUM(AD617:AD619)</f>
        <v>231143.16999999998</v>
      </c>
      <c r="AE620" s="14">
        <f>SUM(AE617:AE619)</f>
        <v>19637.919999999998</v>
      </c>
      <c r="AF620" s="14">
        <f>SUM(AF617:AF619)</f>
        <v>19387.919999999998</v>
      </c>
      <c r="AG620" s="14">
        <f t="shared" ref="AG620:AP620" si="512">SUM(AG617:AG619)</f>
        <v>19387.919999999998</v>
      </c>
      <c r="AH620" s="14">
        <f t="shared" si="512"/>
        <v>19387.919999999998</v>
      </c>
      <c r="AI620" s="14">
        <f t="shared" si="512"/>
        <v>19387.919999999998</v>
      </c>
      <c r="AJ620" s="14">
        <f t="shared" si="512"/>
        <v>19387.919999999998</v>
      </c>
      <c r="AK620" s="14">
        <f t="shared" si="512"/>
        <v>19387.919999999998</v>
      </c>
      <c r="AL620" s="14">
        <f t="shared" si="512"/>
        <v>19387.919999999998</v>
      </c>
      <c r="AM620" s="14">
        <f t="shared" si="512"/>
        <v>19387.919999999998</v>
      </c>
      <c r="AN620" s="14">
        <f t="shared" si="512"/>
        <v>19387.919999999998</v>
      </c>
      <c r="AO620" s="14">
        <f t="shared" si="512"/>
        <v>19387.88</v>
      </c>
      <c r="AP620" s="14">
        <f t="shared" si="512"/>
        <v>19117.169999999998</v>
      </c>
      <c r="AQ620" s="22">
        <f>SUM(AQ617:AQ619)</f>
        <v>232634.24999999994</v>
      </c>
      <c r="AR620" s="22">
        <f t="shared" ref="AR620:BD620" si="513">SUM(AR617:AR619)</f>
        <v>19367.169999999998</v>
      </c>
      <c r="AS620" s="22">
        <f t="shared" si="513"/>
        <v>19117.169999999998</v>
      </c>
      <c r="AT620" s="22">
        <f t="shared" si="513"/>
        <v>19117.169999999998</v>
      </c>
      <c r="AU620" s="22">
        <f t="shared" si="513"/>
        <v>19117.169999999998</v>
      </c>
      <c r="AV620" s="22">
        <f t="shared" si="513"/>
        <v>19117.169999999998</v>
      </c>
      <c r="AW620" s="22">
        <f t="shared" si="513"/>
        <v>19117.169999999998</v>
      </c>
      <c r="AX620" s="22">
        <f t="shared" si="513"/>
        <v>19117.169999999998</v>
      </c>
      <c r="AY620" s="22">
        <f t="shared" si="513"/>
        <v>19117.169999999998</v>
      </c>
      <c r="AZ620" s="22">
        <f t="shared" si="513"/>
        <v>19117.169999999998</v>
      </c>
      <c r="BA620" s="22">
        <f t="shared" si="513"/>
        <v>19117.169999999998</v>
      </c>
      <c r="BB620" s="22">
        <f t="shared" si="513"/>
        <v>19117.13</v>
      </c>
      <c r="BC620" s="22">
        <f t="shared" si="513"/>
        <v>19263.080000000002</v>
      </c>
      <c r="BD620" s="22">
        <f t="shared" si="513"/>
        <v>229801.90999999997</v>
      </c>
    </row>
    <row r="621" spans="1:56" x14ac:dyDescent="0.3">
      <c r="D621" s="15"/>
    </row>
    <row r="622" spans="1:56" ht="15.5" x14ac:dyDescent="0.35">
      <c r="B622" s="20">
        <f>+B616+1</f>
        <v>71</v>
      </c>
      <c r="C622" s="1" t="s">
        <v>14</v>
      </c>
      <c r="D622" s="25" t="s">
        <v>302</v>
      </c>
    </row>
    <row r="623" spans="1:56" x14ac:dyDescent="0.3">
      <c r="D623" s="8" t="s">
        <v>8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f>SUM(E623:P623)</f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f>SUM(R623:AC623)</f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12">
        <v>0</v>
      </c>
      <c r="AN623" s="12">
        <v>0</v>
      </c>
      <c r="AO623" s="12">
        <v>0</v>
      </c>
      <c r="AP623" s="12">
        <v>0</v>
      </c>
      <c r="AQ623" s="3">
        <f>SUM(AE623:AP623)</f>
        <v>0</v>
      </c>
      <c r="AR623" s="3">
        <v>0</v>
      </c>
      <c r="AS623" s="3">
        <v>0</v>
      </c>
      <c r="AT623" s="3">
        <v>0</v>
      </c>
      <c r="AU623" s="3">
        <v>0</v>
      </c>
      <c r="AV623" s="3">
        <v>0</v>
      </c>
      <c r="AW623" s="3">
        <v>0</v>
      </c>
      <c r="AX623" s="3">
        <v>0</v>
      </c>
      <c r="AY623" s="3">
        <v>0</v>
      </c>
      <c r="AZ623" s="3">
        <v>0</v>
      </c>
      <c r="BA623" s="3">
        <v>0</v>
      </c>
      <c r="BB623" s="3">
        <v>0</v>
      </c>
      <c r="BC623" s="3">
        <v>0</v>
      </c>
      <c r="BD623" s="3">
        <f>SUM(AR623:BC623)</f>
        <v>0</v>
      </c>
    </row>
    <row r="624" spans="1:56" x14ac:dyDescent="0.3">
      <c r="D624" s="8" t="s">
        <v>9</v>
      </c>
      <c r="E624" s="11">
        <v>250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2">
        <f>SUM(E624:P624)</f>
        <v>250</v>
      </c>
      <c r="R624" s="11">
        <v>250</v>
      </c>
      <c r="AD624" s="12">
        <f>SUM(R624:AC624)</f>
        <v>250</v>
      </c>
      <c r="AE624" s="11">
        <v>250</v>
      </c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3">
        <f>SUM(AE624:AP624)</f>
        <v>250</v>
      </c>
      <c r="AR624" s="3">
        <v>250</v>
      </c>
      <c r="AS624" s="3">
        <v>0</v>
      </c>
      <c r="AT624" s="3">
        <v>0</v>
      </c>
      <c r="AU624" s="3">
        <v>0</v>
      </c>
      <c r="AV624" s="3">
        <v>0</v>
      </c>
      <c r="AW624" s="3">
        <v>0</v>
      </c>
      <c r="AX624" s="3">
        <v>0</v>
      </c>
      <c r="AY624" s="3">
        <v>0</v>
      </c>
      <c r="AZ624" s="3">
        <v>0</v>
      </c>
      <c r="BA624" s="3">
        <v>0</v>
      </c>
      <c r="BB624" s="3">
        <v>0</v>
      </c>
      <c r="BC624" s="3">
        <v>0</v>
      </c>
      <c r="BD624" s="3">
        <f>SUM(AR624:BC624)</f>
        <v>250</v>
      </c>
    </row>
    <row r="625" spans="1:56" ht="13.5" thickBot="1" x14ac:dyDescent="0.35">
      <c r="A625" t="s">
        <v>303</v>
      </c>
      <c r="D625" s="8" t="s">
        <v>10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1">
        <v>6212.76</v>
      </c>
      <c r="P625" s="11">
        <v>6212.76</v>
      </c>
      <c r="Q625" s="12">
        <f>SUM(E625:P625)</f>
        <v>12425.52</v>
      </c>
      <c r="R625" s="11">
        <v>6212.76</v>
      </c>
      <c r="S625" s="11">
        <v>6212.76</v>
      </c>
      <c r="T625" s="11">
        <v>6212.76</v>
      </c>
      <c r="U625" s="11">
        <v>6212.76</v>
      </c>
      <c r="V625" s="11">
        <f>7500+24851.04</f>
        <v>32351.040000000001</v>
      </c>
      <c r="W625" s="11">
        <f t="shared" ref="W625:AG625" si="514">7500+24851.04</f>
        <v>32351.040000000001</v>
      </c>
      <c r="X625" s="11">
        <f t="shared" si="514"/>
        <v>32351.040000000001</v>
      </c>
      <c r="Y625" s="11">
        <f t="shared" si="514"/>
        <v>32351.040000000001</v>
      </c>
      <c r="Z625" s="11">
        <f t="shared" si="514"/>
        <v>32351.040000000001</v>
      </c>
      <c r="AA625" s="11">
        <f>7500+24851.05</f>
        <v>32351.05</v>
      </c>
      <c r="AB625" s="11">
        <f t="shared" si="514"/>
        <v>32351.040000000001</v>
      </c>
      <c r="AC625" s="11">
        <f t="shared" si="514"/>
        <v>32351.040000000001</v>
      </c>
      <c r="AD625" s="12">
        <f>SUM(R625:AC625)</f>
        <v>283659.37</v>
      </c>
      <c r="AE625" s="11">
        <f t="shared" si="514"/>
        <v>32351.040000000001</v>
      </c>
      <c r="AF625" s="11">
        <f t="shared" si="514"/>
        <v>32351.040000000001</v>
      </c>
      <c r="AG625" s="11">
        <f t="shared" si="514"/>
        <v>32351.040000000001</v>
      </c>
      <c r="AH625" s="11">
        <f>7500+24851.05</f>
        <v>32351.05</v>
      </c>
      <c r="AI625" s="12">
        <f>11666.67+24419.79</f>
        <v>36086.46</v>
      </c>
      <c r="AJ625" s="12">
        <f t="shared" ref="AJ625:AP625" si="515">11666.67+24419.79</f>
        <v>36086.46</v>
      </c>
      <c r="AK625" s="12">
        <f t="shared" si="515"/>
        <v>36086.46</v>
      </c>
      <c r="AL625" s="12">
        <f t="shared" si="515"/>
        <v>36086.46</v>
      </c>
      <c r="AM625" s="12">
        <f t="shared" si="515"/>
        <v>36086.46</v>
      </c>
      <c r="AN625" s="12">
        <f>11666.67+24419.8</f>
        <v>36086.47</v>
      </c>
      <c r="AO625" s="12">
        <f t="shared" si="515"/>
        <v>36086.46</v>
      </c>
      <c r="AP625" s="12">
        <f t="shared" si="515"/>
        <v>36086.46</v>
      </c>
      <c r="AQ625" s="3">
        <f>SUM(AE625:AP625)</f>
        <v>418095.8600000001</v>
      </c>
      <c r="AR625" s="3">
        <f>11666.67+24419.79</f>
        <v>36086.46</v>
      </c>
      <c r="AS625" s="3">
        <f t="shared" ref="AS625:AT625" si="516">11666.67+24419.79</f>
        <v>36086.46</v>
      </c>
      <c r="AT625" s="3">
        <f t="shared" si="516"/>
        <v>36086.46</v>
      </c>
      <c r="AU625" s="3">
        <f>11666.63+24419.8</f>
        <v>36086.43</v>
      </c>
      <c r="AV625" s="3">
        <f>11666.67+23789.06</f>
        <v>35455.730000000003</v>
      </c>
      <c r="AW625" s="3">
        <f t="shared" ref="AW625:AZ625" si="517">11666.67+23789.06</f>
        <v>35455.730000000003</v>
      </c>
      <c r="AX625" s="3">
        <f t="shared" si="517"/>
        <v>35455.730000000003</v>
      </c>
      <c r="AY625" s="3">
        <f t="shared" si="517"/>
        <v>35455.730000000003</v>
      </c>
      <c r="AZ625" s="3">
        <f t="shared" si="517"/>
        <v>35455.730000000003</v>
      </c>
      <c r="BA625" s="3">
        <f>11666.67+23789.08</f>
        <v>35455.75</v>
      </c>
      <c r="BB625" s="3">
        <f>11666.67+23789.06</f>
        <v>35455.730000000003</v>
      </c>
      <c r="BC625" s="3">
        <f>11666.67+23789.06</f>
        <v>35455.730000000003</v>
      </c>
      <c r="BD625" s="3">
        <f>SUM(AR625:BC625)</f>
        <v>427991.67</v>
      </c>
    </row>
    <row r="626" spans="1:56" ht="13.5" thickBot="1" x14ac:dyDescent="0.35">
      <c r="D626" s="13" t="s">
        <v>57</v>
      </c>
      <c r="E626" s="14">
        <f t="shared" ref="E626:P626" si="518">SUM(E623:E625)</f>
        <v>250</v>
      </c>
      <c r="F626" s="14">
        <f t="shared" si="518"/>
        <v>0</v>
      </c>
      <c r="G626" s="14">
        <f t="shared" si="518"/>
        <v>0</v>
      </c>
      <c r="H626" s="14">
        <f t="shared" si="518"/>
        <v>0</v>
      </c>
      <c r="I626" s="14">
        <f t="shared" si="518"/>
        <v>0</v>
      </c>
      <c r="J626" s="14">
        <f t="shared" si="518"/>
        <v>0</v>
      </c>
      <c r="K626" s="14">
        <f t="shared" si="518"/>
        <v>0</v>
      </c>
      <c r="L626" s="14">
        <f t="shared" si="518"/>
        <v>0</v>
      </c>
      <c r="M626" s="14">
        <f t="shared" si="518"/>
        <v>0</v>
      </c>
      <c r="N626" s="14">
        <f t="shared" si="518"/>
        <v>0</v>
      </c>
      <c r="O626" s="14">
        <f t="shared" si="518"/>
        <v>6212.76</v>
      </c>
      <c r="P626" s="14">
        <f t="shared" si="518"/>
        <v>6212.76</v>
      </c>
      <c r="Q626" s="14">
        <f>SUM(Q623:Q625)</f>
        <v>12675.52</v>
      </c>
      <c r="R626" s="14">
        <f t="shared" ref="R626:AC626" si="519">SUM(R623:R625)</f>
        <v>6462.76</v>
      </c>
      <c r="S626" s="14">
        <f t="shared" si="519"/>
        <v>6212.76</v>
      </c>
      <c r="T626" s="14">
        <f t="shared" si="519"/>
        <v>6212.76</v>
      </c>
      <c r="U626" s="14">
        <f t="shared" si="519"/>
        <v>6212.76</v>
      </c>
      <c r="V626" s="14">
        <f t="shared" si="519"/>
        <v>32351.040000000001</v>
      </c>
      <c r="W626" s="14">
        <f t="shared" si="519"/>
        <v>32351.040000000001</v>
      </c>
      <c r="X626" s="14">
        <f t="shared" si="519"/>
        <v>32351.040000000001</v>
      </c>
      <c r="Y626" s="14">
        <f t="shared" si="519"/>
        <v>32351.040000000001</v>
      </c>
      <c r="Z626" s="14">
        <f t="shared" si="519"/>
        <v>32351.040000000001</v>
      </c>
      <c r="AA626" s="14">
        <f t="shared" si="519"/>
        <v>32351.05</v>
      </c>
      <c r="AB626" s="14">
        <f t="shared" si="519"/>
        <v>32351.040000000001</v>
      </c>
      <c r="AC626" s="14">
        <f t="shared" si="519"/>
        <v>32351.040000000001</v>
      </c>
      <c r="AD626" s="14">
        <f>SUM(AD623:AD625)</f>
        <v>283909.37</v>
      </c>
      <c r="AE626" s="14">
        <f>SUM(AE623:AE625)</f>
        <v>32601.040000000001</v>
      </c>
      <c r="AF626" s="14">
        <f>SUM(AF623:AF625)</f>
        <v>32351.040000000001</v>
      </c>
      <c r="AG626" s="14">
        <f t="shared" ref="AG626:AP626" si="520">SUM(AG623:AG625)</f>
        <v>32351.040000000001</v>
      </c>
      <c r="AH626" s="14">
        <f t="shared" si="520"/>
        <v>32351.05</v>
      </c>
      <c r="AI626" s="14">
        <f t="shared" si="520"/>
        <v>36086.46</v>
      </c>
      <c r="AJ626" s="14">
        <f t="shared" si="520"/>
        <v>36086.46</v>
      </c>
      <c r="AK626" s="14">
        <f t="shared" si="520"/>
        <v>36086.46</v>
      </c>
      <c r="AL626" s="14">
        <f t="shared" si="520"/>
        <v>36086.46</v>
      </c>
      <c r="AM626" s="14">
        <f t="shared" si="520"/>
        <v>36086.46</v>
      </c>
      <c r="AN626" s="14">
        <f t="shared" si="520"/>
        <v>36086.47</v>
      </c>
      <c r="AO626" s="14">
        <f t="shared" si="520"/>
        <v>36086.46</v>
      </c>
      <c r="AP626" s="14">
        <f t="shared" si="520"/>
        <v>36086.46</v>
      </c>
      <c r="AQ626" s="22">
        <f>SUM(AQ623:AQ625)</f>
        <v>418345.8600000001</v>
      </c>
      <c r="AR626" s="22">
        <f t="shared" ref="AR626:BD626" si="521">SUM(AR623:AR625)</f>
        <v>36336.46</v>
      </c>
      <c r="AS626" s="22">
        <f t="shared" si="521"/>
        <v>36086.46</v>
      </c>
      <c r="AT626" s="22">
        <f t="shared" si="521"/>
        <v>36086.46</v>
      </c>
      <c r="AU626" s="22">
        <f t="shared" si="521"/>
        <v>36086.43</v>
      </c>
      <c r="AV626" s="22">
        <f t="shared" si="521"/>
        <v>35455.730000000003</v>
      </c>
      <c r="AW626" s="22">
        <f t="shared" si="521"/>
        <v>35455.730000000003</v>
      </c>
      <c r="AX626" s="22">
        <f t="shared" si="521"/>
        <v>35455.730000000003</v>
      </c>
      <c r="AY626" s="22">
        <f t="shared" si="521"/>
        <v>35455.730000000003</v>
      </c>
      <c r="AZ626" s="22">
        <f t="shared" si="521"/>
        <v>35455.730000000003</v>
      </c>
      <c r="BA626" s="22">
        <f t="shared" si="521"/>
        <v>35455.75</v>
      </c>
      <c r="BB626" s="22">
        <f t="shared" si="521"/>
        <v>35455.730000000003</v>
      </c>
      <c r="BC626" s="22">
        <f t="shared" si="521"/>
        <v>35455.730000000003</v>
      </c>
      <c r="BD626" s="22">
        <f t="shared" si="521"/>
        <v>428241.67</v>
      </c>
    </row>
    <row r="627" spans="1:56" x14ac:dyDescent="0.3">
      <c r="D627" s="15"/>
    </row>
    <row r="628" spans="1:56" ht="15.5" x14ac:dyDescent="0.35">
      <c r="B628" s="20">
        <f>+B622+1</f>
        <v>72</v>
      </c>
      <c r="C628" s="1" t="s">
        <v>14</v>
      </c>
      <c r="D628" s="25" t="s">
        <v>304</v>
      </c>
    </row>
    <row r="629" spans="1:56" x14ac:dyDescent="0.3">
      <c r="D629" s="8" t="s">
        <v>8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f>SUM(E629:P629)</f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f>SUM(R629:AC629)</f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12">
        <v>0</v>
      </c>
      <c r="AN629" s="12">
        <v>0</v>
      </c>
      <c r="AO629" s="12">
        <v>0</v>
      </c>
      <c r="AP629" s="12">
        <v>0</v>
      </c>
      <c r="AQ629" s="3">
        <f>SUM(AE629:AP629)</f>
        <v>0</v>
      </c>
      <c r="AR629" s="3">
        <v>0</v>
      </c>
      <c r="AS629" s="3">
        <v>0</v>
      </c>
      <c r="AT629" s="3">
        <v>0</v>
      </c>
      <c r="AU629" s="3">
        <v>0</v>
      </c>
      <c r="AV629" s="3">
        <v>0</v>
      </c>
      <c r="AW629" s="3">
        <v>0</v>
      </c>
      <c r="AX629" s="3">
        <v>0</v>
      </c>
      <c r="AY629" s="3">
        <v>0</v>
      </c>
      <c r="AZ629" s="3">
        <v>0</v>
      </c>
      <c r="BA629" s="3">
        <v>0</v>
      </c>
      <c r="BB629" s="3">
        <v>0</v>
      </c>
      <c r="BC629" s="3">
        <v>0</v>
      </c>
      <c r="BD629" s="3">
        <f>SUM(AR629:BC629)</f>
        <v>0</v>
      </c>
    </row>
    <row r="630" spans="1:56" x14ac:dyDescent="0.3">
      <c r="D630" s="8" t="s">
        <v>9</v>
      </c>
      <c r="E630" s="11">
        <v>250</v>
      </c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2">
        <f>SUM(E630:P630)</f>
        <v>250</v>
      </c>
      <c r="R630" s="11">
        <v>250</v>
      </c>
      <c r="AD630" s="12">
        <f>SUM(R630:AC630)</f>
        <v>250</v>
      </c>
      <c r="AE630" s="11">
        <v>250</v>
      </c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3">
        <f>SUM(AE630:AP630)</f>
        <v>250</v>
      </c>
      <c r="AR630" s="3">
        <v>250</v>
      </c>
      <c r="AS630" s="3">
        <v>0</v>
      </c>
      <c r="AT630" s="3">
        <v>0</v>
      </c>
      <c r="AU630" s="3">
        <v>0</v>
      </c>
      <c r="AV630" s="3">
        <v>0</v>
      </c>
      <c r="AW630" s="3">
        <v>0</v>
      </c>
      <c r="AX630" s="3">
        <v>0</v>
      </c>
      <c r="AY630" s="3">
        <v>0</v>
      </c>
      <c r="AZ630" s="3">
        <v>0</v>
      </c>
      <c r="BA630" s="3">
        <v>0</v>
      </c>
      <c r="BB630" s="3">
        <v>0</v>
      </c>
      <c r="BC630" s="3">
        <v>0</v>
      </c>
      <c r="BD630" s="3">
        <f>SUM(AR630:BC630)</f>
        <v>250</v>
      </c>
    </row>
    <row r="631" spans="1:56" ht="13.5" thickBot="1" x14ac:dyDescent="0.35">
      <c r="A631" t="s">
        <v>305</v>
      </c>
      <c r="D631" s="8" t="s">
        <v>10</v>
      </c>
      <c r="E631" s="12">
        <v>18902.14</v>
      </c>
      <c r="F631" s="12">
        <v>18902.14</v>
      </c>
      <c r="G631" s="12">
        <v>18902.14</v>
      </c>
      <c r="H631" s="12">
        <v>18902.14</v>
      </c>
      <c r="I631" s="12">
        <v>18902.150000000001</v>
      </c>
      <c r="J631" s="12">
        <v>18902.14</v>
      </c>
      <c r="K631" s="12">
        <v>18902.14</v>
      </c>
      <c r="L631" s="12">
        <v>18902.14</v>
      </c>
      <c r="M631" s="12">
        <v>18902.14</v>
      </c>
      <c r="N631" s="12">
        <v>18902.14</v>
      </c>
      <c r="O631" s="12">
        <v>18902.18</v>
      </c>
      <c r="P631" s="11">
        <v>77895.839999999997</v>
      </c>
      <c r="Q631" s="12">
        <f>SUM(E631:P631)</f>
        <v>285819.43000000005</v>
      </c>
      <c r="R631" s="11">
        <v>77895.839999999997</v>
      </c>
      <c r="S631" s="11">
        <v>77895.839999999997</v>
      </c>
      <c r="T631" s="11">
        <v>77895.839999999997</v>
      </c>
      <c r="U631" s="11">
        <v>77895.839999999997</v>
      </c>
      <c r="V631" s="11">
        <v>77895.759999999995</v>
      </c>
      <c r="W631" s="11">
        <f t="shared" ref="W631:AH631" si="522">21250+77895.84</f>
        <v>99145.84</v>
      </c>
      <c r="X631" s="11">
        <f t="shared" si="522"/>
        <v>99145.84</v>
      </c>
      <c r="Y631" s="11">
        <f t="shared" si="522"/>
        <v>99145.84</v>
      </c>
      <c r="Z631" s="11">
        <f t="shared" si="522"/>
        <v>99145.84</v>
      </c>
      <c r="AA631" s="11">
        <f t="shared" si="522"/>
        <v>99145.84</v>
      </c>
      <c r="AB631" s="11">
        <f t="shared" si="522"/>
        <v>99145.84</v>
      </c>
      <c r="AC631" s="11">
        <f t="shared" si="522"/>
        <v>99145.84</v>
      </c>
      <c r="AD631" s="12">
        <f>SUM(R631:AC631)</f>
        <v>1083499.9999999998</v>
      </c>
      <c r="AE631" s="11">
        <f t="shared" si="522"/>
        <v>99145.84</v>
      </c>
      <c r="AF631" s="11">
        <f t="shared" si="522"/>
        <v>99145.84</v>
      </c>
      <c r="AG631" s="11">
        <f t="shared" si="522"/>
        <v>99145.84</v>
      </c>
      <c r="AH631" s="11">
        <f t="shared" si="522"/>
        <v>99145.84</v>
      </c>
      <c r="AI631" s="11">
        <f>21250+77895.76</f>
        <v>99145.76</v>
      </c>
      <c r="AJ631" s="12">
        <f>22500+77045.84</f>
        <v>99545.84</v>
      </c>
      <c r="AK631" s="12">
        <f t="shared" ref="AK631:AP631" si="523">22500+77045.84</f>
        <v>99545.84</v>
      </c>
      <c r="AL631" s="12">
        <f t="shared" si="523"/>
        <v>99545.84</v>
      </c>
      <c r="AM631" s="12">
        <f t="shared" si="523"/>
        <v>99545.84</v>
      </c>
      <c r="AN631" s="12">
        <f t="shared" si="523"/>
        <v>99545.84</v>
      </c>
      <c r="AO631" s="12">
        <f t="shared" si="523"/>
        <v>99545.84</v>
      </c>
      <c r="AP631" s="12">
        <f t="shared" si="523"/>
        <v>99545.84</v>
      </c>
      <c r="AQ631" s="3">
        <f>SUM(AE631:AP631)</f>
        <v>1192550</v>
      </c>
      <c r="AR631" s="3">
        <f>22500+77045.84</f>
        <v>99545.84</v>
      </c>
      <c r="AS631" s="3">
        <f>22500+77045.84</f>
        <v>99545.84</v>
      </c>
      <c r="AT631" s="3">
        <f t="shared" ref="AT631:AU631" si="524">22500+77045.84</f>
        <v>99545.84</v>
      </c>
      <c r="AU631" s="3">
        <f t="shared" si="524"/>
        <v>99545.84</v>
      </c>
      <c r="AV631" s="3">
        <f>22500+77045.76</f>
        <v>99545.76</v>
      </c>
      <c r="AW631" s="3">
        <f>23333.34+76145.84</f>
        <v>99479.18</v>
      </c>
      <c r="AX631" s="3">
        <f t="shared" ref="AX631:BC631" si="525">23333.34+76145.84</f>
        <v>99479.18</v>
      </c>
      <c r="AY631" s="3">
        <f t="shared" si="525"/>
        <v>99479.18</v>
      </c>
      <c r="AZ631" s="3">
        <f t="shared" si="525"/>
        <v>99479.18</v>
      </c>
      <c r="BA631" s="3">
        <f t="shared" si="525"/>
        <v>99479.18</v>
      </c>
      <c r="BB631" s="3">
        <f t="shared" si="525"/>
        <v>99479.18</v>
      </c>
      <c r="BC631" s="3">
        <f t="shared" si="525"/>
        <v>99479.18</v>
      </c>
      <c r="BD631" s="3">
        <f>SUM(AR631:BC631)</f>
        <v>1194083.3799999997</v>
      </c>
    </row>
    <row r="632" spans="1:56" ht="13.5" thickBot="1" x14ac:dyDescent="0.35">
      <c r="D632" s="13" t="s">
        <v>306</v>
      </c>
      <c r="E632" s="14">
        <f t="shared" ref="E632:P632" si="526">SUM(E629:E631)</f>
        <v>19152.14</v>
      </c>
      <c r="F632" s="14">
        <f t="shared" si="526"/>
        <v>18902.14</v>
      </c>
      <c r="G632" s="14">
        <f t="shared" si="526"/>
        <v>18902.14</v>
      </c>
      <c r="H632" s="14">
        <f t="shared" si="526"/>
        <v>18902.14</v>
      </c>
      <c r="I632" s="14">
        <f t="shared" si="526"/>
        <v>18902.150000000001</v>
      </c>
      <c r="J632" s="14">
        <f t="shared" si="526"/>
        <v>18902.14</v>
      </c>
      <c r="K632" s="14">
        <f t="shared" si="526"/>
        <v>18902.14</v>
      </c>
      <c r="L632" s="14">
        <f t="shared" si="526"/>
        <v>18902.14</v>
      </c>
      <c r="M632" s="14">
        <f t="shared" si="526"/>
        <v>18902.14</v>
      </c>
      <c r="N632" s="14">
        <f t="shared" si="526"/>
        <v>18902.14</v>
      </c>
      <c r="O632" s="14">
        <f t="shared" si="526"/>
        <v>18902.18</v>
      </c>
      <c r="P632" s="14">
        <f t="shared" si="526"/>
        <v>77895.839999999997</v>
      </c>
      <c r="Q632" s="14">
        <f>SUM(Q629:Q631)</f>
        <v>286069.43000000005</v>
      </c>
      <c r="R632" s="14">
        <f t="shared" ref="R632:AC632" si="527">SUM(R629:R631)</f>
        <v>78145.84</v>
      </c>
      <c r="S632" s="14">
        <f t="shared" si="527"/>
        <v>77895.839999999997</v>
      </c>
      <c r="T632" s="14">
        <f t="shared" si="527"/>
        <v>77895.839999999997</v>
      </c>
      <c r="U632" s="14">
        <f t="shared" si="527"/>
        <v>77895.839999999997</v>
      </c>
      <c r="V632" s="14">
        <f t="shared" si="527"/>
        <v>77895.759999999995</v>
      </c>
      <c r="W632" s="14">
        <f t="shared" si="527"/>
        <v>99145.84</v>
      </c>
      <c r="X632" s="14">
        <f t="shared" si="527"/>
        <v>99145.84</v>
      </c>
      <c r="Y632" s="14">
        <f t="shared" si="527"/>
        <v>99145.84</v>
      </c>
      <c r="Z632" s="14">
        <f t="shared" si="527"/>
        <v>99145.84</v>
      </c>
      <c r="AA632" s="14">
        <f t="shared" si="527"/>
        <v>99145.84</v>
      </c>
      <c r="AB632" s="14">
        <f t="shared" si="527"/>
        <v>99145.84</v>
      </c>
      <c r="AC632" s="14">
        <f t="shared" si="527"/>
        <v>99145.84</v>
      </c>
      <c r="AD632" s="14">
        <f>SUM(AD629:AD631)</f>
        <v>1083749.9999999998</v>
      </c>
      <c r="AE632" s="14">
        <f>SUM(AE629:AE631)</f>
        <v>99395.839999999997</v>
      </c>
      <c r="AF632" s="14">
        <f>SUM(AF629:AF631)</f>
        <v>99145.84</v>
      </c>
      <c r="AG632" s="14">
        <f t="shared" ref="AG632:AP632" si="528">SUM(AG629:AG631)</f>
        <v>99145.84</v>
      </c>
      <c r="AH632" s="14">
        <f t="shared" si="528"/>
        <v>99145.84</v>
      </c>
      <c r="AI632" s="14">
        <f t="shared" si="528"/>
        <v>99145.76</v>
      </c>
      <c r="AJ632" s="14">
        <f t="shared" si="528"/>
        <v>99545.84</v>
      </c>
      <c r="AK632" s="14">
        <f t="shared" si="528"/>
        <v>99545.84</v>
      </c>
      <c r="AL632" s="14">
        <f t="shared" si="528"/>
        <v>99545.84</v>
      </c>
      <c r="AM632" s="14">
        <f t="shared" si="528"/>
        <v>99545.84</v>
      </c>
      <c r="AN632" s="14">
        <f t="shared" si="528"/>
        <v>99545.84</v>
      </c>
      <c r="AO632" s="14">
        <f t="shared" si="528"/>
        <v>99545.84</v>
      </c>
      <c r="AP632" s="14">
        <f t="shared" si="528"/>
        <v>99545.84</v>
      </c>
      <c r="AQ632" s="22">
        <f>SUM(AQ629:AQ631)</f>
        <v>1192800</v>
      </c>
      <c r="AR632" s="22">
        <f t="shared" ref="AR632:BD632" si="529">SUM(AR629:AR631)</f>
        <v>99795.839999999997</v>
      </c>
      <c r="AS632" s="22">
        <f t="shared" si="529"/>
        <v>99545.84</v>
      </c>
      <c r="AT632" s="22">
        <f t="shared" si="529"/>
        <v>99545.84</v>
      </c>
      <c r="AU632" s="22">
        <f t="shared" si="529"/>
        <v>99545.84</v>
      </c>
      <c r="AV632" s="22">
        <f t="shared" si="529"/>
        <v>99545.76</v>
      </c>
      <c r="AW632" s="22">
        <f t="shared" si="529"/>
        <v>99479.18</v>
      </c>
      <c r="AX632" s="22">
        <f t="shared" si="529"/>
        <v>99479.18</v>
      </c>
      <c r="AY632" s="22">
        <f t="shared" si="529"/>
        <v>99479.18</v>
      </c>
      <c r="AZ632" s="22">
        <f t="shared" si="529"/>
        <v>99479.18</v>
      </c>
      <c r="BA632" s="22">
        <f t="shared" si="529"/>
        <v>99479.18</v>
      </c>
      <c r="BB632" s="22">
        <f t="shared" si="529"/>
        <v>99479.18</v>
      </c>
      <c r="BC632" s="22">
        <f t="shared" si="529"/>
        <v>99479.18</v>
      </c>
      <c r="BD632" s="22">
        <f t="shared" si="529"/>
        <v>1194333.3799999997</v>
      </c>
    </row>
    <row r="633" spans="1:56" x14ac:dyDescent="0.3">
      <c r="D633" s="15"/>
    </row>
    <row r="634" spans="1:56" ht="15.5" x14ac:dyDescent="0.35">
      <c r="B634" s="20">
        <f>+B628+1</f>
        <v>73</v>
      </c>
      <c r="C634" s="1" t="s">
        <v>14</v>
      </c>
      <c r="D634" s="25" t="s">
        <v>307</v>
      </c>
    </row>
    <row r="635" spans="1:56" x14ac:dyDescent="0.3">
      <c r="D635" s="8" t="s">
        <v>8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f>SUM(E635:P635)</f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f>SUM(R635:AC635)</f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12">
        <v>0</v>
      </c>
      <c r="AN635" s="12">
        <v>0</v>
      </c>
      <c r="AO635" s="12">
        <v>0</v>
      </c>
      <c r="AP635" s="12">
        <v>0</v>
      </c>
      <c r="AQ635" s="3">
        <f>SUM(AE635:AP635)</f>
        <v>0</v>
      </c>
      <c r="AR635" s="3">
        <v>0</v>
      </c>
      <c r="AS635" s="3">
        <v>0</v>
      </c>
      <c r="AT635" s="3">
        <v>0</v>
      </c>
      <c r="AU635" s="3">
        <v>0</v>
      </c>
      <c r="AV635" s="3">
        <v>0</v>
      </c>
      <c r="AW635" s="3">
        <v>0</v>
      </c>
      <c r="AX635" s="3">
        <v>0</v>
      </c>
      <c r="AY635" s="3">
        <v>0</v>
      </c>
      <c r="AZ635" s="3">
        <v>0</v>
      </c>
      <c r="BA635" s="3">
        <v>0</v>
      </c>
      <c r="BB635" s="3">
        <v>0</v>
      </c>
      <c r="BC635" s="3">
        <v>0</v>
      </c>
      <c r="BD635" s="3">
        <f>SUM(AR635:BC635)</f>
        <v>0</v>
      </c>
    </row>
    <row r="636" spans="1:56" x14ac:dyDescent="0.3">
      <c r="D636" s="8" t="s">
        <v>9</v>
      </c>
      <c r="E636" s="11">
        <v>250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2">
        <f>SUM(E636:P636)</f>
        <v>250</v>
      </c>
      <c r="R636" s="11">
        <v>250</v>
      </c>
      <c r="AD636" s="12">
        <f>SUM(R636:AC636)</f>
        <v>250</v>
      </c>
      <c r="AE636" s="11">
        <v>250</v>
      </c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3">
        <f>SUM(AE636:AP636)</f>
        <v>250</v>
      </c>
      <c r="AR636" s="3">
        <v>250</v>
      </c>
      <c r="AS636" s="3">
        <v>0</v>
      </c>
      <c r="AT636" s="3">
        <v>0</v>
      </c>
      <c r="AU636" s="3">
        <v>0</v>
      </c>
      <c r="AV636" s="3">
        <v>0</v>
      </c>
      <c r="AW636" s="3">
        <v>0</v>
      </c>
      <c r="AX636" s="3">
        <v>0</v>
      </c>
      <c r="AY636" s="3">
        <v>0</v>
      </c>
      <c r="AZ636" s="3">
        <v>0</v>
      </c>
      <c r="BA636" s="3">
        <v>0</v>
      </c>
      <c r="BB636" s="3">
        <v>0</v>
      </c>
      <c r="BC636" s="3">
        <v>0</v>
      </c>
      <c r="BD636" s="3">
        <f>SUM(AR636:BC636)</f>
        <v>250</v>
      </c>
    </row>
    <row r="637" spans="1:56" ht="13.5" thickBot="1" x14ac:dyDescent="0.35">
      <c r="A637" t="s">
        <v>308</v>
      </c>
      <c r="D637" s="8" t="s">
        <v>10</v>
      </c>
      <c r="E637" s="11">
        <v>24397.17</v>
      </c>
      <c r="F637" s="11">
        <v>24357.39</v>
      </c>
      <c r="G637" s="11">
        <v>23855.75</v>
      </c>
      <c r="H637" s="11">
        <v>24277.82</v>
      </c>
      <c r="I637" s="11">
        <v>23778.75</v>
      </c>
      <c r="J637" s="11">
        <v>24198.26</v>
      </c>
      <c r="K637" s="11">
        <v>24158.47</v>
      </c>
      <c r="L637" s="11">
        <v>27752.36</v>
      </c>
      <c r="M637" s="11">
        <v>24059.01</v>
      </c>
      <c r="N637" s="11">
        <v>23567</v>
      </c>
      <c r="O637" s="11">
        <v>23979.45</v>
      </c>
      <c r="P637" s="11">
        <v>23490</v>
      </c>
      <c r="Q637" s="12">
        <f>SUM(E637:P637)</f>
        <v>291871.43000000005</v>
      </c>
      <c r="R637" s="11">
        <v>23899.88</v>
      </c>
      <c r="S637" s="11">
        <v>23860.1</v>
      </c>
      <c r="T637" s="11">
        <v>23374.5</v>
      </c>
      <c r="U637" s="11">
        <v>23780.53</v>
      </c>
      <c r="V637" s="11">
        <v>23297.5</v>
      </c>
      <c r="W637" s="11">
        <v>23700.959999999999</v>
      </c>
      <c r="X637" s="11">
        <v>23661.18</v>
      </c>
      <c r="Y637" s="11">
        <v>27303.200000000001</v>
      </c>
      <c r="Z637" s="11">
        <v>23561.72</v>
      </c>
      <c r="AA637" s="11">
        <v>23085.75</v>
      </c>
      <c r="AB637" s="11">
        <v>23482.16</v>
      </c>
      <c r="AC637" s="11">
        <v>23008.75</v>
      </c>
      <c r="AD637" s="12">
        <f>SUM(R637:AC637)</f>
        <v>286016.23</v>
      </c>
      <c r="AE637" s="12">
        <v>23402.59</v>
      </c>
      <c r="AF637" s="12">
        <v>23362.81</v>
      </c>
      <c r="AG637" s="12">
        <v>22893.25</v>
      </c>
      <c r="AH637" s="12">
        <v>23283.24</v>
      </c>
      <c r="AI637" s="12">
        <v>27816.25</v>
      </c>
      <c r="AJ637" s="12">
        <v>23183.78</v>
      </c>
      <c r="AK637" s="12">
        <v>23144</v>
      </c>
      <c r="AL637" s="12">
        <v>27258.79</v>
      </c>
      <c r="AM637" s="12">
        <v>23044.54</v>
      </c>
      <c r="AN637" s="12">
        <v>27585.25</v>
      </c>
      <c r="AO637" s="12">
        <v>22945.08</v>
      </c>
      <c r="AP637" s="12">
        <v>27489</v>
      </c>
      <c r="AQ637" s="3">
        <f>SUM(AE637:AP637)</f>
        <v>295408.58</v>
      </c>
      <c r="AR637" s="3">
        <f>15000+12845.62</f>
        <v>27845.620000000003</v>
      </c>
      <c r="AS637" s="3">
        <f>15000+12785.95</f>
        <v>27785.95</v>
      </c>
      <c r="AT637" s="3">
        <f>15000+12315.75</f>
        <v>27315.75</v>
      </c>
      <c r="AU637" s="3">
        <f>15000+12666.6</f>
        <v>27666.6</v>
      </c>
      <c r="AV637" s="3">
        <f>15000+12200.25</f>
        <v>27200.25</v>
      </c>
      <c r="AW637" s="3">
        <f>15000+12547.25</f>
        <v>27547.25</v>
      </c>
      <c r="AX637" s="3">
        <f>15000+12487.57</f>
        <v>27487.57</v>
      </c>
      <c r="AY637" s="3">
        <f>15000+11225.2</f>
        <v>26225.200000000001</v>
      </c>
      <c r="AZ637" s="3">
        <f>15000+12368.22</f>
        <v>27368.22</v>
      </c>
      <c r="BA637" s="3">
        <f>15000+11911.5</f>
        <v>26911.5</v>
      </c>
      <c r="BB637" s="3">
        <f>15000+12248.87</f>
        <v>27248.870000000003</v>
      </c>
      <c r="BC637" s="3">
        <f>15000+11796</f>
        <v>26796</v>
      </c>
      <c r="BD637" s="3">
        <f>SUM(AR637:BC637)</f>
        <v>327398.78000000003</v>
      </c>
    </row>
    <row r="638" spans="1:56" ht="13.5" thickBot="1" x14ac:dyDescent="0.35">
      <c r="D638" s="13" t="s">
        <v>309</v>
      </c>
      <c r="E638" s="14">
        <f t="shared" ref="E638:P638" si="530">SUM(E635:E637)</f>
        <v>24647.17</v>
      </c>
      <c r="F638" s="14">
        <f t="shared" si="530"/>
        <v>24357.39</v>
      </c>
      <c r="G638" s="14">
        <f t="shared" si="530"/>
        <v>23855.75</v>
      </c>
      <c r="H638" s="14">
        <f t="shared" si="530"/>
        <v>24277.82</v>
      </c>
      <c r="I638" s="14">
        <f t="shared" si="530"/>
        <v>23778.75</v>
      </c>
      <c r="J638" s="14">
        <f t="shared" si="530"/>
        <v>24198.26</v>
      </c>
      <c r="K638" s="14">
        <f t="shared" si="530"/>
        <v>24158.47</v>
      </c>
      <c r="L638" s="14">
        <f t="shared" si="530"/>
        <v>27752.36</v>
      </c>
      <c r="M638" s="14">
        <f t="shared" si="530"/>
        <v>24059.01</v>
      </c>
      <c r="N638" s="14">
        <f t="shared" si="530"/>
        <v>23567</v>
      </c>
      <c r="O638" s="14">
        <f t="shared" si="530"/>
        <v>23979.45</v>
      </c>
      <c r="P638" s="14">
        <f t="shared" si="530"/>
        <v>23490</v>
      </c>
      <c r="Q638" s="14">
        <f>SUM(Q635:Q637)</f>
        <v>292121.43000000005</v>
      </c>
      <c r="R638" s="14">
        <f t="shared" ref="R638:AC638" si="531">SUM(R635:R637)</f>
        <v>24149.88</v>
      </c>
      <c r="S638" s="14">
        <f t="shared" si="531"/>
        <v>23860.1</v>
      </c>
      <c r="T638" s="14">
        <f t="shared" si="531"/>
        <v>23374.5</v>
      </c>
      <c r="U638" s="14">
        <f t="shared" si="531"/>
        <v>23780.53</v>
      </c>
      <c r="V638" s="14">
        <f t="shared" si="531"/>
        <v>23297.5</v>
      </c>
      <c r="W638" s="14">
        <f t="shared" si="531"/>
        <v>23700.959999999999</v>
      </c>
      <c r="X638" s="14">
        <f t="shared" si="531"/>
        <v>23661.18</v>
      </c>
      <c r="Y638" s="14">
        <f t="shared" si="531"/>
        <v>27303.200000000001</v>
      </c>
      <c r="Z638" s="14">
        <f t="shared" si="531"/>
        <v>23561.72</v>
      </c>
      <c r="AA638" s="14">
        <f t="shared" si="531"/>
        <v>23085.75</v>
      </c>
      <c r="AB638" s="14">
        <f t="shared" si="531"/>
        <v>23482.16</v>
      </c>
      <c r="AC638" s="14">
        <f t="shared" si="531"/>
        <v>23008.75</v>
      </c>
      <c r="AD638" s="14">
        <f>SUM(AD635:AD637)</f>
        <v>286266.23</v>
      </c>
      <c r="AE638" s="14">
        <f>SUM(AE635:AE637)</f>
        <v>23652.59</v>
      </c>
      <c r="AF638" s="14">
        <f>SUM(AF635:AF637)</f>
        <v>23362.81</v>
      </c>
      <c r="AG638" s="14">
        <f t="shared" ref="AG638:AP638" si="532">SUM(AG635:AG637)</f>
        <v>22893.25</v>
      </c>
      <c r="AH638" s="14">
        <f t="shared" si="532"/>
        <v>23283.24</v>
      </c>
      <c r="AI638" s="14">
        <f t="shared" si="532"/>
        <v>27816.25</v>
      </c>
      <c r="AJ638" s="14">
        <f t="shared" si="532"/>
        <v>23183.78</v>
      </c>
      <c r="AK638" s="14">
        <f t="shared" si="532"/>
        <v>23144</v>
      </c>
      <c r="AL638" s="14">
        <f t="shared" si="532"/>
        <v>27258.79</v>
      </c>
      <c r="AM638" s="14">
        <f t="shared" si="532"/>
        <v>23044.54</v>
      </c>
      <c r="AN638" s="14">
        <f t="shared" si="532"/>
        <v>27585.25</v>
      </c>
      <c r="AO638" s="14">
        <f t="shared" si="532"/>
        <v>22945.08</v>
      </c>
      <c r="AP638" s="14">
        <f t="shared" si="532"/>
        <v>27489</v>
      </c>
      <c r="AQ638" s="22">
        <f>SUM(AQ635:AQ637)</f>
        <v>295658.58</v>
      </c>
      <c r="AR638" s="22">
        <f t="shared" ref="AR638:BD638" si="533">SUM(AR635:AR637)</f>
        <v>28095.620000000003</v>
      </c>
      <c r="AS638" s="22">
        <f t="shared" si="533"/>
        <v>27785.95</v>
      </c>
      <c r="AT638" s="22">
        <f t="shared" si="533"/>
        <v>27315.75</v>
      </c>
      <c r="AU638" s="22">
        <f t="shared" si="533"/>
        <v>27666.6</v>
      </c>
      <c r="AV638" s="22">
        <f t="shared" si="533"/>
        <v>27200.25</v>
      </c>
      <c r="AW638" s="22">
        <f t="shared" si="533"/>
        <v>27547.25</v>
      </c>
      <c r="AX638" s="22">
        <f t="shared" si="533"/>
        <v>27487.57</v>
      </c>
      <c r="AY638" s="22">
        <f t="shared" si="533"/>
        <v>26225.200000000001</v>
      </c>
      <c r="AZ638" s="22">
        <f t="shared" si="533"/>
        <v>27368.22</v>
      </c>
      <c r="BA638" s="22">
        <f t="shared" si="533"/>
        <v>26911.5</v>
      </c>
      <c r="BB638" s="22">
        <f t="shared" si="533"/>
        <v>27248.870000000003</v>
      </c>
      <c r="BC638" s="22">
        <f t="shared" si="533"/>
        <v>26796</v>
      </c>
      <c r="BD638" s="22">
        <f t="shared" si="533"/>
        <v>327648.78000000003</v>
      </c>
    </row>
    <row r="639" spans="1:56" x14ac:dyDescent="0.3">
      <c r="D639" s="15"/>
    </row>
    <row r="640" spans="1:56" ht="15.5" x14ac:dyDescent="0.35">
      <c r="B640" s="20">
        <f>+B634+1</f>
        <v>74</v>
      </c>
      <c r="C640" s="1" t="s">
        <v>14</v>
      </c>
      <c r="D640" s="25" t="s">
        <v>310</v>
      </c>
    </row>
    <row r="641" spans="1:56" x14ac:dyDescent="0.3">
      <c r="D641" s="8" t="s">
        <v>8</v>
      </c>
      <c r="E641" s="12">
        <v>1615</v>
      </c>
      <c r="F641" s="12">
        <v>1615</v>
      </c>
      <c r="G641" s="12">
        <v>1615</v>
      </c>
      <c r="H641" s="12">
        <v>1615</v>
      </c>
      <c r="I641" s="12">
        <v>1615</v>
      </c>
      <c r="J641" s="12">
        <v>1615</v>
      </c>
      <c r="K641" s="12">
        <v>1615</v>
      </c>
      <c r="L641" s="11">
        <v>1480.42</v>
      </c>
      <c r="M641" s="11">
        <v>1480.42</v>
      </c>
      <c r="N641" s="11">
        <v>1480.42</v>
      </c>
      <c r="O641" s="11">
        <v>1480.42</v>
      </c>
      <c r="P641" s="11">
        <v>1480.42</v>
      </c>
      <c r="Q641" s="12">
        <f>SUM(E641:P641)</f>
        <v>18707.099999999999</v>
      </c>
      <c r="R641" s="11">
        <v>1480.42</v>
      </c>
      <c r="S641" s="11">
        <v>1480.42</v>
      </c>
      <c r="T641" s="11">
        <v>1480.42</v>
      </c>
      <c r="U641" s="11">
        <v>1480.42</v>
      </c>
      <c r="V641" s="11">
        <v>1480.42</v>
      </c>
      <c r="W641" s="11">
        <v>1480.42</v>
      </c>
      <c r="X641" s="11">
        <v>1480.42</v>
      </c>
      <c r="Y641" s="11">
        <v>1480.42</v>
      </c>
      <c r="Z641" s="11">
        <v>1480.42</v>
      </c>
      <c r="AA641" s="11">
        <v>1480.42</v>
      </c>
      <c r="AB641" s="11">
        <v>1480.42</v>
      </c>
      <c r="AC641" s="11">
        <v>1480.42</v>
      </c>
      <c r="AD641" s="12">
        <f>SUM(R641:AC641)</f>
        <v>17765.04</v>
      </c>
      <c r="AE641" s="11">
        <v>1480.42</v>
      </c>
      <c r="AF641" s="11">
        <v>1480.42</v>
      </c>
      <c r="AG641" s="11">
        <v>1480.42</v>
      </c>
      <c r="AH641" s="11">
        <v>1480.42</v>
      </c>
      <c r="AI641" s="11">
        <v>1480.42</v>
      </c>
      <c r="AJ641" s="11">
        <v>1480.42</v>
      </c>
      <c r="AK641" s="11">
        <v>1480.42</v>
      </c>
      <c r="AL641" s="12">
        <v>1450.83</v>
      </c>
      <c r="AM641" s="12">
        <v>1450.83</v>
      </c>
      <c r="AN641" s="12">
        <v>1450.83</v>
      </c>
      <c r="AO641" s="12">
        <v>1450.83</v>
      </c>
      <c r="AP641" s="12">
        <v>1450.83</v>
      </c>
      <c r="AQ641" s="3">
        <f>SUM(AE641:AP641)</f>
        <v>17617.09</v>
      </c>
      <c r="AR641" s="3">
        <v>1450.83</v>
      </c>
      <c r="AS641" s="3">
        <v>1450.83</v>
      </c>
      <c r="AT641" s="3">
        <v>1450.83</v>
      </c>
      <c r="AU641" s="3">
        <v>1450.83</v>
      </c>
      <c r="AV641" s="3">
        <v>1450.83</v>
      </c>
      <c r="AW641" s="3">
        <v>1450.83</v>
      </c>
      <c r="AX641" s="3">
        <v>1450.83</v>
      </c>
      <c r="AY641" s="3">
        <v>1420</v>
      </c>
      <c r="AZ641" s="3">
        <v>1420</v>
      </c>
      <c r="BA641" s="3">
        <v>1420</v>
      </c>
      <c r="BB641" s="3">
        <v>1420</v>
      </c>
      <c r="BC641" s="3">
        <v>1420</v>
      </c>
      <c r="BD641" s="3">
        <f>SUM(AR641:BC641)</f>
        <v>17255.809999999998</v>
      </c>
    </row>
    <row r="642" spans="1:56" x14ac:dyDescent="0.3">
      <c r="D642" s="8" t="s">
        <v>9</v>
      </c>
      <c r="E642" s="11">
        <v>250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2">
        <f>SUM(E642:P642)</f>
        <v>250</v>
      </c>
      <c r="R642" s="11">
        <v>250</v>
      </c>
      <c r="AD642" s="12">
        <f>SUM(R642:AC642)</f>
        <v>250</v>
      </c>
      <c r="AE642" s="11">
        <v>250</v>
      </c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3">
        <f>SUM(AE642:AP642)</f>
        <v>250</v>
      </c>
      <c r="AR642" s="3">
        <v>250</v>
      </c>
      <c r="AS642" s="3">
        <v>0</v>
      </c>
      <c r="AT642" s="3">
        <v>0</v>
      </c>
      <c r="AU642" s="3">
        <v>0</v>
      </c>
      <c r="AV642" s="3">
        <v>0</v>
      </c>
      <c r="AW642" s="3">
        <v>0</v>
      </c>
      <c r="AX642" s="3">
        <v>0</v>
      </c>
      <c r="AY642" s="3">
        <v>0</v>
      </c>
      <c r="AZ642" s="3">
        <v>0</v>
      </c>
      <c r="BA642" s="3">
        <v>0</v>
      </c>
      <c r="BB642" s="3">
        <v>0</v>
      </c>
      <c r="BC642" s="3">
        <v>0</v>
      </c>
      <c r="BD642" s="3">
        <f>SUM(AR642:BC642)</f>
        <v>250</v>
      </c>
    </row>
    <row r="643" spans="1:56" ht="13.5" thickBot="1" x14ac:dyDescent="0.35">
      <c r="A643" t="s">
        <v>311</v>
      </c>
      <c r="D643" s="8" t="s">
        <v>10</v>
      </c>
      <c r="E643" s="12">
        <v>59216.67</v>
      </c>
      <c r="F643" s="12">
        <v>59216.67</v>
      </c>
      <c r="G643" s="12">
        <v>59216.67</v>
      </c>
      <c r="H643" s="12">
        <v>59216.67</v>
      </c>
      <c r="I643" s="12">
        <v>59216.65</v>
      </c>
      <c r="J643" s="12">
        <v>59216.67</v>
      </c>
      <c r="K643" s="12">
        <v>59216.67</v>
      </c>
      <c r="L643" s="12">
        <v>59216.67</v>
      </c>
      <c r="M643" s="12">
        <v>59216.67</v>
      </c>
      <c r="N643" s="12">
        <v>59216.67</v>
      </c>
      <c r="O643" s="12">
        <v>59216.65</v>
      </c>
      <c r="P643" s="12">
        <v>59216.67</v>
      </c>
      <c r="Q643" s="12">
        <f>SUM(E643:P643)</f>
        <v>710600.00000000012</v>
      </c>
      <c r="R643" s="12">
        <v>59216.67</v>
      </c>
      <c r="S643" s="12">
        <v>59216.67</v>
      </c>
      <c r="T643" s="12">
        <v>59216.67</v>
      </c>
      <c r="U643" s="12">
        <v>59216.67</v>
      </c>
      <c r="V643" s="12">
        <v>59216.65</v>
      </c>
      <c r="W643" s="12">
        <f>29583.33+59216.67</f>
        <v>88800</v>
      </c>
      <c r="X643" s="12">
        <f t="shared" ref="X643:AH643" si="534">29583.33+59216.67</f>
        <v>88800</v>
      </c>
      <c r="Y643" s="12">
        <f t="shared" si="534"/>
        <v>88800</v>
      </c>
      <c r="Z643" s="12">
        <f t="shared" si="534"/>
        <v>88800</v>
      </c>
      <c r="AA643" s="12">
        <f t="shared" si="534"/>
        <v>88800</v>
      </c>
      <c r="AB643" s="12">
        <f>29583.33+59216.65</f>
        <v>88799.98000000001</v>
      </c>
      <c r="AC643" s="12">
        <f t="shared" si="534"/>
        <v>88800</v>
      </c>
      <c r="AD643" s="12">
        <f>SUM(R643:AC643)</f>
        <v>917683.31</v>
      </c>
      <c r="AE643" s="12">
        <f t="shared" si="534"/>
        <v>88800</v>
      </c>
      <c r="AF643" s="12">
        <f t="shared" si="534"/>
        <v>88800</v>
      </c>
      <c r="AG643" s="12">
        <f t="shared" si="534"/>
        <v>88800</v>
      </c>
      <c r="AH643" s="12">
        <f t="shared" si="534"/>
        <v>88800</v>
      </c>
      <c r="AI643" s="12">
        <f>29583.37+59216.65</f>
        <v>88800.02</v>
      </c>
      <c r="AJ643" s="12">
        <f>30833.33+58033.33</f>
        <v>88866.66</v>
      </c>
      <c r="AK643" s="12">
        <f t="shared" ref="AK643:AP643" si="535">30833.33+58033.33</f>
        <v>88866.66</v>
      </c>
      <c r="AL643" s="12">
        <f t="shared" si="535"/>
        <v>88866.66</v>
      </c>
      <c r="AM643" s="12">
        <f t="shared" si="535"/>
        <v>88866.66</v>
      </c>
      <c r="AN643" s="12">
        <f t="shared" si="535"/>
        <v>88866.66</v>
      </c>
      <c r="AO643" s="12">
        <f>30833.33+58033.35</f>
        <v>88866.68</v>
      </c>
      <c r="AP643" s="12">
        <f t="shared" si="535"/>
        <v>88866.66</v>
      </c>
      <c r="AQ643" s="3">
        <f>SUM(AE643:AP643)</f>
        <v>1066066.6600000001</v>
      </c>
      <c r="AR643" s="3">
        <f>30833.33+58033.33</f>
        <v>88866.66</v>
      </c>
      <c r="AS643" s="3">
        <f t="shared" ref="AS643:AU643" si="536">30833.33+58033.33</f>
        <v>88866.66</v>
      </c>
      <c r="AT643" s="3">
        <f t="shared" si="536"/>
        <v>88866.66</v>
      </c>
      <c r="AU643" s="3">
        <f t="shared" si="536"/>
        <v>88866.66</v>
      </c>
      <c r="AV643" s="3">
        <f>30833.37+58033.35</f>
        <v>88866.72</v>
      </c>
      <c r="AW643" s="3">
        <f>32083.33+56800</f>
        <v>88883.33</v>
      </c>
      <c r="AX643" s="3">
        <f t="shared" ref="AX643:BC643" si="537">32083.33+56800</f>
        <v>88883.33</v>
      </c>
      <c r="AY643" s="3">
        <f t="shared" si="537"/>
        <v>88883.33</v>
      </c>
      <c r="AZ643" s="3">
        <f t="shared" si="537"/>
        <v>88883.33</v>
      </c>
      <c r="BA643" s="3">
        <f t="shared" si="537"/>
        <v>88883.33</v>
      </c>
      <c r="BB643" s="3">
        <f t="shared" si="537"/>
        <v>88883.33</v>
      </c>
      <c r="BC643" s="3">
        <f t="shared" si="537"/>
        <v>88883.33</v>
      </c>
      <c r="BD643" s="3">
        <f>SUM(AR643:BC643)</f>
        <v>1066516.6699999997</v>
      </c>
    </row>
    <row r="644" spans="1:56" ht="13.5" thickBot="1" x14ac:dyDescent="0.35">
      <c r="D644" s="13" t="s">
        <v>43</v>
      </c>
      <c r="E644" s="14">
        <f t="shared" ref="E644:P644" si="538">SUM(E641:E643)</f>
        <v>61081.67</v>
      </c>
      <c r="F644" s="14">
        <f t="shared" si="538"/>
        <v>60831.67</v>
      </c>
      <c r="G644" s="14">
        <f t="shared" si="538"/>
        <v>60831.67</v>
      </c>
      <c r="H644" s="14">
        <f t="shared" si="538"/>
        <v>60831.67</v>
      </c>
      <c r="I644" s="14">
        <f t="shared" si="538"/>
        <v>60831.65</v>
      </c>
      <c r="J644" s="14">
        <f t="shared" si="538"/>
        <v>60831.67</v>
      </c>
      <c r="K644" s="14">
        <f t="shared" si="538"/>
        <v>60831.67</v>
      </c>
      <c r="L644" s="14">
        <f t="shared" si="538"/>
        <v>60697.09</v>
      </c>
      <c r="M644" s="14">
        <f t="shared" si="538"/>
        <v>60697.09</v>
      </c>
      <c r="N644" s="14">
        <f t="shared" si="538"/>
        <v>60697.09</v>
      </c>
      <c r="O644" s="14">
        <f t="shared" si="538"/>
        <v>60697.07</v>
      </c>
      <c r="P644" s="14">
        <f t="shared" si="538"/>
        <v>60697.09</v>
      </c>
      <c r="Q644" s="14">
        <f>SUM(Q641:Q643)</f>
        <v>729557.10000000009</v>
      </c>
      <c r="R644" s="14">
        <f t="shared" ref="R644:AC644" si="539">SUM(R641:R643)</f>
        <v>60947.09</v>
      </c>
      <c r="S644" s="14">
        <f t="shared" si="539"/>
        <v>60697.09</v>
      </c>
      <c r="T644" s="14">
        <f t="shared" si="539"/>
        <v>60697.09</v>
      </c>
      <c r="U644" s="14">
        <f t="shared" si="539"/>
        <v>60697.09</v>
      </c>
      <c r="V644" s="14">
        <f t="shared" si="539"/>
        <v>60697.07</v>
      </c>
      <c r="W644" s="14">
        <f t="shared" si="539"/>
        <v>90280.42</v>
      </c>
      <c r="X644" s="14">
        <f t="shared" si="539"/>
        <v>90280.42</v>
      </c>
      <c r="Y644" s="14">
        <f t="shared" si="539"/>
        <v>90280.42</v>
      </c>
      <c r="Z644" s="14">
        <f t="shared" si="539"/>
        <v>90280.42</v>
      </c>
      <c r="AA644" s="14">
        <f t="shared" si="539"/>
        <v>90280.42</v>
      </c>
      <c r="AB644" s="14">
        <f t="shared" si="539"/>
        <v>90280.400000000009</v>
      </c>
      <c r="AC644" s="14">
        <f t="shared" si="539"/>
        <v>90280.42</v>
      </c>
      <c r="AD644" s="14">
        <f>SUM(AD641:AD643)</f>
        <v>935698.35000000009</v>
      </c>
      <c r="AE644" s="14">
        <f>SUM(AE641:AE643)</f>
        <v>90530.42</v>
      </c>
      <c r="AF644" s="14">
        <f>SUM(AF641:AF643)</f>
        <v>90280.42</v>
      </c>
      <c r="AG644" s="14">
        <f t="shared" ref="AG644:AP644" si="540">SUM(AG641:AG643)</f>
        <v>90280.42</v>
      </c>
      <c r="AH644" s="14">
        <f t="shared" si="540"/>
        <v>90280.42</v>
      </c>
      <c r="AI644" s="14">
        <f t="shared" si="540"/>
        <v>90280.44</v>
      </c>
      <c r="AJ644" s="14">
        <f t="shared" si="540"/>
        <v>90347.08</v>
      </c>
      <c r="AK644" s="14">
        <f t="shared" si="540"/>
        <v>90347.08</v>
      </c>
      <c r="AL644" s="14">
        <f t="shared" si="540"/>
        <v>90317.49</v>
      </c>
      <c r="AM644" s="14">
        <f t="shared" si="540"/>
        <v>90317.49</v>
      </c>
      <c r="AN644" s="14">
        <f t="shared" si="540"/>
        <v>90317.49</v>
      </c>
      <c r="AO644" s="14">
        <f t="shared" si="540"/>
        <v>90317.51</v>
      </c>
      <c r="AP644" s="14">
        <f t="shared" si="540"/>
        <v>90317.49</v>
      </c>
      <c r="AQ644" s="22">
        <f>SUM(AQ641:AQ643)</f>
        <v>1083933.7500000002</v>
      </c>
      <c r="AR644" s="22">
        <f t="shared" ref="AR644:BD644" si="541">SUM(AR641:AR643)</f>
        <v>90567.49</v>
      </c>
      <c r="AS644" s="22">
        <f t="shared" si="541"/>
        <v>90317.49</v>
      </c>
      <c r="AT644" s="22">
        <f t="shared" si="541"/>
        <v>90317.49</v>
      </c>
      <c r="AU644" s="22">
        <f t="shared" si="541"/>
        <v>90317.49</v>
      </c>
      <c r="AV644" s="22">
        <f t="shared" si="541"/>
        <v>90317.55</v>
      </c>
      <c r="AW644" s="22">
        <f t="shared" si="541"/>
        <v>90334.16</v>
      </c>
      <c r="AX644" s="22">
        <f t="shared" si="541"/>
        <v>90334.16</v>
      </c>
      <c r="AY644" s="22">
        <f t="shared" si="541"/>
        <v>90303.33</v>
      </c>
      <c r="AZ644" s="22">
        <f t="shared" si="541"/>
        <v>90303.33</v>
      </c>
      <c r="BA644" s="22">
        <f t="shared" si="541"/>
        <v>90303.33</v>
      </c>
      <c r="BB644" s="22">
        <f t="shared" si="541"/>
        <v>90303.33</v>
      </c>
      <c r="BC644" s="22">
        <f t="shared" si="541"/>
        <v>90303.33</v>
      </c>
      <c r="BD644" s="22">
        <f t="shared" si="541"/>
        <v>1084022.4799999997</v>
      </c>
    </row>
    <row r="645" spans="1:56" x14ac:dyDescent="0.3">
      <c r="D645" s="15"/>
    </row>
    <row r="646" spans="1:56" ht="15.5" x14ac:dyDescent="0.35">
      <c r="B646" s="20">
        <f>+B640+1</f>
        <v>75</v>
      </c>
      <c r="C646" s="1" t="s">
        <v>14</v>
      </c>
      <c r="D646" s="25" t="s">
        <v>312</v>
      </c>
    </row>
    <row r="647" spans="1:56" x14ac:dyDescent="0.3">
      <c r="D647" s="8" t="s">
        <v>8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f>SUM(E647:P647)</f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f>SUM(R647:AC647)</f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12">
        <v>0</v>
      </c>
      <c r="AN647" s="12">
        <v>0</v>
      </c>
      <c r="AO647" s="12">
        <v>0</v>
      </c>
      <c r="AP647" s="12">
        <v>0</v>
      </c>
      <c r="AQ647" s="3">
        <f>SUM(AE647:AP647)</f>
        <v>0</v>
      </c>
      <c r="AR647" s="3">
        <v>0</v>
      </c>
      <c r="AS647" s="3">
        <v>0</v>
      </c>
      <c r="AT647" s="3">
        <v>0</v>
      </c>
      <c r="AU647" s="3">
        <v>0</v>
      </c>
      <c r="AV647" s="3">
        <v>0</v>
      </c>
      <c r="AW647" s="3">
        <v>0</v>
      </c>
      <c r="AX647" s="3">
        <v>0</v>
      </c>
      <c r="AY647" s="3">
        <v>0</v>
      </c>
      <c r="AZ647" s="3">
        <v>0</v>
      </c>
      <c r="BA647" s="3">
        <v>0</v>
      </c>
      <c r="BB647" s="3">
        <v>0</v>
      </c>
      <c r="BC647" s="3">
        <v>0</v>
      </c>
      <c r="BD647" s="3">
        <f>SUM(AR647:BC647)</f>
        <v>0</v>
      </c>
    </row>
    <row r="648" spans="1:56" x14ac:dyDescent="0.3">
      <c r="D648" s="8" t="s">
        <v>9</v>
      </c>
      <c r="E648" s="11">
        <v>250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2">
        <f>SUM(E648:P648)</f>
        <v>250</v>
      </c>
      <c r="R648" s="11">
        <v>250</v>
      </c>
      <c r="AD648" s="12">
        <f>SUM(R648:AC648)</f>
        <v>250</v>
      </c>
      <c r="AE648" s="11">
        <v>250</v>
      </c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3">
        <f>SUM(AE648:AP648)</f>
        <v>250</v>
      </c>
      <c r="AR648" s="3">
        <v>250</v>
      </c>
      <c r="AS648" s="3">
        <v>0</v>
      </c>
      <c r="AT648" s="3">
        <v>0</v>
      </c>
      <c r="AU648" s="3">
        <v>0</v>
      </c>
      <c r="AV648" s="3">
        <v>0</v>
      </c>
      <c r="AW648" s="3">
        <v>0</v>
      </c>
      <c r="AX648" s="3">
        <v>0</v>
      </c>
      <c r="AY648" s="3">
        <v>0</v>
      </c>
      <c r="AZ648" s="3">
        <v>0</v>
      </c>
      <c r="BA648" s="3">
        <v>0</v>
      </c>
      <c r="BB648" s="3">
        <v>0</v>
      </c>
      <c r="BC648" s="3">
        <v>0</v>
      </c>
      <c r="BD648" s="3">
        <f>SUM(AR648:BC648)</f>
        <v>250</v>
      </c>
    </row>
    <row r="649" spans="1:56" ht="13.5" thickBot="1" x14ac:dyDescent="0.35">
      <c r="A649" t="s">
        <v>313</v>
      </c>
      <c r="D649" s="8" t="s">
        <v>10</v>
      </c>
      <c r="E649" s="11">
        <v>55899.25</v>
      </c>
      <c r="F649" s="11">
        <v>55899.25</v>
      </c>
      <c r="G649" s="11">
        <v>55899.25</v>
      </c>
      <c r="H649" s="11">
        <v>55899.25</v>
      </c>
      <c r="I649" s="11">
        <v>55899.25</v>
      </c>
      <c r="J649" s="11">
        <v>55899.25</v>
      </c>
      <c r="K649" s="11">
        <v>55899.25</v>
      </c>
      <c r="L649" s="11">
        <v>55899.25</v>
      </c>
      <c r="M649" s="11">
        <v>55899.25</v>
      </c>
      <c r="N649" s="11">
        <v>55899.25</v>
      </c>
      <c r="O649" s="11">
        <v>55899.25</v>
      </c>
      <c r="P649" s="11">
        <v>55899.25</v>
      </c>
      <c r="Q649" s="12">
        <f>SUM(E649:P649)</f>
        <v>670791</v>
      </c>
      <c r="R649" s="11">
        <v>55899.25</v>
      </c>
      <c r="S649" s="11">
        <v>55899.25</v>
      </c>
      <c r="T649" s="11">
        <v>55899.25</v>
      </c>
      <c r="U649" s="11">
        <v>55899.25</v>
      </c>
      <c r="V649" s="11">
        <v>55899.26</v>
      </c>
      <c r="W649" s="11">
        <v>55899.26</v>
      </c>
      <c r="X649" s="11">
        <v>55899.25</v>
      </c>
      <c r="Y649" s="11">
        <v>55899.25</v>
      </c>
      <c r="Z649" s="11">
        <v>55899.25</v>
      </c>
      <c r="AA649" s="11">
        <v>55899.25</v>
      </c>
      <c r="AB649" s="11">
        <v>55899.26</v>
      </c>
      <c r="AC649" s="11">
        <v>55899.25</v>
      </c>
      <c r="AD649" s="12">
        <f>SUM(R649:AC649)</f>
        <v>670791.03</v>
      </c>
      <c r="AE649" s="12">
        <v>55899.25</v>
      </c>
      <c r="AF649" s="12">
        <v>55899.25</v>
      </c>
      <c r="AG649" s="12">
        <v>55899.25</v>
      </c>
      <c r="AH649" s="12">
        <v>55899.25</v>
      </c>
      <c r="AI649" s="12">
        <v>55899.25</v>
      </c>
      <c r="AJ649" s="12">
        <v>55899.25</v>
      </c>
      <c r="AK649" s="12">
        <v>55899.25</v>
      </c>
      <c r="AL649" s="12">
        <v>55899.25</v>
      </c>
      <c r="AM649" s="12">
        <v>55899.25</v>
      </c>
      <c r="AN649" s="12">
        <v>55899.25</v>
      </c>
      <c r="AO649" s="12">
        <v>55899.25</v>
      </c>
      <c r="AP649" s="12">
        <v>55899.26</v>
      </c>
      <c r="AQ649" s="3">
        <f>SUM(AE649:AP649)</f>
        <v>670791.01</v>
      </c>
      <c r="AR649" s="3">
        <f>33015.34+22883.91</f>
        <v>55899.25</v>
      </c>
      <c r="AS649" s="3">
        <f>33082.15+22817.1</f>
        <v>55899.25</v>
      </c>
      <c r="AT649" s="3">
        <f>33882.97+22016.28</f>
        <v>55899.25</v>
      </c>
      <c r="AU649" s="3">
        <f>33217.66+22681.59</f>
        <v>55899.25</v>
      </c>
      <c r="AV649" s="3">
        <f>34014.37+21884.88</f>
        <v>55899.25</v>
      </c>
      <c r="AW649" s="3">
        <f>33353.71+22545.54</f>
        <v>55899.25</v>
      </c>
      <c r="AX649" s="3">
        <f>33421.2+22478.05</f>
        <v>55899.25</v>
      </c>
      <c r="AY649" s="3">
        <f>35657.59+20241.67</f>
        <v>55899.259999999995</v>
      </c>
      <c r="AZ649" s="3">
        <f>33560.99+22338.26</f>
        <v>55899.25</v>
      </c>
      <c r="BA649" s="3">
        <f>34347.31+21551.95</f>
        <v>55899.259999999995</v>
      </c>
      <c r="BB649" s="3">
        <f>33698.41+22200.84</f>
        <v>55899.25</v>
      </c>
      <c r="BC649" s="3">
        <f>34480.56+21418.69</f>
        <v>55899.25</v>
      </c>
      <c r="BD649" s="3">
        <f>SUM(AR649:BC649)</f>
        <v>670791.02</v>
      </c>
    </row>
    <row r="650" spans="1:56" ht="13.5" thickBot="1" x14ac:dyDescent="0.35">
      <c r="D650" s="13" t="s">
        <v>314</v>
      </c>
      <c r="E650" s="14">
        <f t="shared" ref="E650:P650" si="542">SUM(E647:E649)</f>
        <v>56149.25</v>
      </c>
      <c r="F650" s="14">
        <f t="shared" si="542"/>
        <v>55899.25</v>
      </c>
      <c r="G650" s="14">
        <f t="shared" si="542"/>
        <v>55899.25</v>
      </c>
      <c r="H650" s="14">
        <f t="shared" si="542"/>
        <v>55899.25</v>
      </c>
      <c r="I650" s="14">
        <f t="shared" si="542"/>
        <v>55899.25</v>
      </c>
      <c r="J650" s="14">
        <f t="shared" si="542"/>
        <v>55899.25</v>
      </c>
      <c r="K650" s="14">
        <f t="shared" si="542"/>
        <v>55899.25</v>
      </c>
      <c r="L650" s="14">
        <f t="shared" si="542"/>
        <v>55899.25</v>
      </c>
      <c r="M650" s="14">
        <f t="shared" si="542"/>
        <v>55899.25</v>
      </c>
      <c r="N650" s="14">
        <f t="shared" si="542"/>
        <v>55899.25</v>
      </c>
      <c r="O650" s="14">
        <f t="shared" si="542"/>
        <v>55899.25</v>
      </c>
      <c r="P650" s="14">
        <f t="shared" si="542"/>
        <v>55899.25</v>
      </c>
      <c r="Q650" s="14">
        <f>SUM(Q647:Q649)</f>
        <v>671041</v>
      </c>
      <c r="R650" s="14">
        <f t="shared" ref="R650:AC650" si="543">SUM(R647:R649)</f>
        <v>56149.25</v>
      </c>
      <c r="S650" s="14">
        <f t="shared" si="543"/>
        <v>55899.25</v>
      </c>
      <c r="T650" s="14">
        <f t="shared" si="543"/>
        <v>55899.25</v>
      </c>
      <c r="U650" s="14">
        <f t="shared" si="543"/>
        <v>55899.25</v>
      </c>
      <c r="V650" s="14">
        <f t="shared" si="543"/>
        <v>55899.26</v>
      </c>
      <c r="W650" s="14">
        <f t="shared" si="543"/>
        <v>55899.26</v>
      </c>
      <c r="X650" s="14">
        <f t="shared" si="543"/>
        <v>55899.25</v>
      </c>
      <c r="Y650" s="14">
        <f t="shared" si="543"/>
        <v>55899.25</v>
      </c>
      <c r="Z650" s="14">
        <f t="shared" si="543"/>
        <v>55899.25</v>
      </c>
      <c r="AA650" s="14">
        <f t="shared" si="543"/>
        <v>55899.25</v>
      </c>
      <c r="AB650" s="14">
        <f t="shared" si="543"/>
        <v>55899.26</v>
      </c>
      <c r="AC650" s="14">
        <f t="shared" si="543"/>
        <v>55899.25</v>
      </c>
      <c r="AD650" s="14">
        <f>SUM(AD647:AD649)</f>
        <v>671041.03</v>
      </c>
      <c r="AE650" s="14">
        <f>SUM(AE647:AE649)</f>
        <v>56149.25</v>
      </c>
      <c r="AF650" s="14">
        <f>SUM(AF647:AF649)</f>
        <v>55899.25</v>
      </c>
      <c r="AG650" s="14">
        <f t="shared" ref="AG650:AP650" si="544">SUM(AG647:AG649)</f>
        <v>55899.25</v>
      </c>
      <c r="AH650" s="14">
        <f t="shared" si="544"/>
        <v>55899.25</v>
      </c>
      <c r="AI650" s="14">
        <f t="shared" si="544"/>
        <v>55899.25</v>
      </c>
      <c r="AJ650" s="14">
        <f t="shared" si="544"/>
        <v>55899.25</v>
      </c>
      <c r="AK650" s="14">
        <f t="shared" si="544"/>
        <v>55899.25</v>
      </c>
      <c r="AL650" s="14">
        <f t="shared" si="544"/>
        <v>55899.25</v>
      </c>
      <c r="AM650" s="14">
        <f t="shared" si="544"/>
        <v>55899.25</v>
      </c>
      <c r="AN650" s="14">
        <f t="shared" si="544"/>
        <v>55899.25</v>
      </c>
      <c r="AO650" s="14">
        <f t="shared" si="544"/>
        <v>55899.25</v>
      </c>
      <c r="AP650" s="14">
        <f t="shared" si="544"/>
        <v>55899.26</v>
      </c>
      <c r="AQ650" s="22">
        <f>SUM(AQ647:AQ649)</f>
        <v>671041.01</v>
      </c>
      <c r="AR650" s="22">
        <f t="shared" ref="AR650:BD650" si="545">SUM(AR647:AR649)</f>
        <v>56149.25</v>
      </c>
      <c r="AS650" s="22">
        <f t="shared" si="545"/>
        <v>55899.25</v>
      </c>
      <c r="AT650" s="22">
        <f t="shared" si="545"/>
        <v>55899.25</v>
      </c>
      <c r="AU650" s="22">
        <f t="shared" si="545"/>
        <v>55899.25</v>
      </c>
      <c r="AV650" s="22">
        <f t="shared" si="545"/>
        <v>55899.25</v>
      </c>
      <c r="AW650" s="22">
        <f t="shared" si="545"/>
        <v>55899.25</v>
      </c>
      <c r="AX650" s="22">
        <f t="shared" si="545"/>
        <v>55899.25</v>
      </c>
      <c r="AY650" s="22">
        <f t="shared" si="545"/>
        <v>55899.259999999995</v>
      </c>
      <c r="AZ650" s="22">
        <f t="shared" si="545"/>
        <v>55899.25</v>
      </c>
      <c r="BA650" s="22">
        <f t="shared" si="545"/>
        <v>55899.259999999995</v>
      </c>
      <c r="BB650" s="22">
        <f t="shared" si="545"/>
        <v>55899.25</v>
      </c>
      <c r="BC650" s="22">
        <f t="shared" si="545"/>
        <v>55899.25</v>
      </c>
      <c r="BD650" s="22">
        <f t="shared" si="545"/>
        <v>671041.02</v>
      </c>
    </row>
    <row r="651" spans="1:56" x14ac:dyDescent="0.3">
      <c r="D651" s="15"/>
    </row>
    <row r="652" spans="1:56" ht="15.5" x14ac:dyDescent="0.35">
      <c r="B652" s="20">
        <f>+B646+1</f>
        <v>76</v>
      </c>
      <c r="C652" s="1" t="s">
        <v>14</v>
      </c>
      <c r="D652" s="25" t="s">
        <v>315</v>
      </c>
    </row>
    <row r="653" spans="1:56" x14ac:dyDescent="0.3">
      <c r="D653" s="8" t="s">
        <v>8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f>SUM(E653:P653)</f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f>SUM(R653:AC653)</f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0</v>
      </c>
      <c r="AK653" s="12">
        <v>0</v>
      </c>
      <c r="AL653" s="12">
        <v>0</v>
      </c>
      <c r="AM653" s="12">
        <v>0</v>
      </c>
      <c r="AN653" s="12">
        <v>0</v>
      </c>
      <c r="AO653" s="12">
        <v>0</v>
      </c>
      <c r="AP653" s="12">
        <v>0</v>
      </c>
      <c r="AQ653" s="3">
        <f>SUM(AE653:AP653)</f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3">
        <v>0</v>
      </c>
      <c r="AY653" s="3">
        <v>0</v>
      </c>
      <c r="AZ653" s="3">
        <v>0</v>
      </c>
      <c r="BA653" s="3">
        <v>0</v>
      </c>
      <c r="BB653" s="3">
        <v>0</v>
      </c>
      <c r="BC653" s="3">
        <v>0</v>
      </c>
      <c r="BD653" s="3">
        <f>SUM(AR653:BC653)</f>
        <v>0</v>
      </c>
    </row>
    <row r="654" spans="1:56" x14ac:dyDescent="0.3">
      <c r="D654" s="8" t="s">
        <v>9</v>
      </c>
      <c r="E654" s="11">
        <v>250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2">
        <f>SUM(E654:P654)</f>
        <v>250</v>
      </c>
      <c r="R654" s="11">
        <v>250</v>
      </c>
      <c r="AD654" s="12">
        <f>SUM(R654:AC654)</f>
        <v>250</v>
      </c>
      <c r="AE654" s="11">
        <v>250</v>
      </c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3">
        <f>SUM(AE654:AP654)</f>
        <v>250</v>
      </c>
      <c r="AR654" s="3">
        <v>250</v>
      </c>
      <c r="AS654" s="3">
        <v>0</v>
      </c>
      <c r="AT654" s="3">
        <v>0</v>
      </c>
      <c r="AU654" s="3">
        <v>0</v>
      </c>
      <c r="AV654" s="3">
        <v>0</v>
      </c>
      <c r="AW654" s="3">
        <v>0</v>
      </c>
      <c r="AX654" s="3">
        <v>0</v>
      </c>
      <c r="AY654" s="3">
        <v>0</v>
      </c>
      <c r="AZ654" s="3">
        <v>0</v>
      </c>
      <c r="BA654" s="3">
        <v>0</v>
      </c>
      <c r="BB654" s="3">
        <v>0</v>
      </c>
      <c r="BC654" s="3">
        <v>0</v>
      </c>
      <c r="BD654" s="3">
        <f>SUM(AR654:BC654)</f>
        <v>250</v>
      </c>
    </row>
    <row r="655" spans="1:56" ht="13.5" thickBot="1" x14ac:dyDescent="0.35">
      <c r="A655" t="s">
        <v>316</v>
      </c>
      <c r="D655" s="8" t="s">
        <v>10</v>
      </c>
      <c r="E655" s="12">
        <f>15544.04+19711.67-0.54</f>
        <v>35255.17</v>
      </c>
      <c r="F655" s="12">
        <f>15544.04+19711.67+0.54</f>
        <v>35256.25</v>
      </c>
      <c r="G655" s="12">
        <f t="shared" ref="G655:P655" si="546">15544.04+19711.67</f>
        <v>35255.71</v>
      </c>
      <c r="H655" s="12">
        <f t="shared" si="546"/>
        <v>35255.71</v>
      </c>
      <c r="I655" s="12">
        <f t="shared" si="546"/>
        <v>35255.71</v>
      </c>
      <c r="J655" s="12">
        <f t="shared" si="546"/>
        <v>35255.71</v>
      </c>
      <c r="K655" s="12">
        <f t="shared" si="546"/>
        <v>35255.71</v>
      </c>
      <c r="L655" s="12">
        <f t="shared" si="546"/>
        <v>35255.71</v>
      </c>
      <c r="M655" s="12">
        <f t="shared" si="546"/>
        <v>35255.71</v>
      </c>
      <c r="N655" s="12">
        <f t="shared" si="546"/>
        <v>35255.71</v>
      </c>
      <c r="O655" s="12">
        <f t="shared" si="546"/>
        <v>35255.71</v>
      </c>
      <c r="P655" s="12">
        <f t="shared" si="546"/>
        <v>35255.71</v>
      </c>
      <c r="Q655" s="12">
        <f>SUM(E655:P655)</f>
        <v>423068.52000000008</v>
      </c>
      <c r="R655" s="11">
        <v>35255.71</v>
      </c>
      <c r="S655" s="11">
        <v>35255.71</v>
      </c>
      <c r="T655" s="11">
        <v>35255.71</v>
      </c>
      <c r="U655" s="11">
        <v>35255.71</v>
      </c>
      <c r="V655" s="11">
        <v>35255.71</v>
      </c>
      <c r="W655" s="11">
        <v>35255.71</v>
      </c>
      <c r="X655" s="11">
        <v>35255.71</v>
      </c>
      <c r="Y655" s="11">
        <v>35255.71</v>
      </c>
      <c r="Z655" s="11">
        <v>35255.71</v>
      </c>
      <c r="AA655" s="11">
        <v>35255.71</v>
      </c>
      <c r="AB655" s="11">
        <v>35255.71</v>
      </c>
      <c r="AC655" s="11">
        <v>35255.71</v>
      </c>
      <c r="AD655" s="12">
        <f>SUM(R655:AC655)</f>
        <v>423068.52000000008</v>
      </c>
      <c r="AE655" s="11">
        <v>35255.71</v>
      </c>
      <c r="AF655" s="11">
        <v>35255.71</v>
      </c>
      <c r="AG655" s="11">
        <v>35255.71</v>
      </c>
      <c r="AH655" s="11">
        <v>35255.71</v>
      </c>
      <c r="AI655" s="11">
        <v>35255.71</v>
      </c>
      <c r="AJ655" s="11">
        <v>35255.71</v>
      </c>
      <c r="AK655" s="11">
        <v>35255.71</v>
      </c>
      <c r="AL655" s="11">
        <v>35255.71</v>
      </c>
      <c r="AM655" s="11">
        <v>35255.71</v>
      </c>
      <c r="AN655" s="11">
        <v>35255.71</v>
      </c>
      <c r="AO655" s="11">
        <v>35255.71</v>
      </c>
      <c r="AP655" s="11">
        <v>35255.71</v>
      </c>
      <c r="AQ655" s="3">
        <f>SUM(AE655:AP655)</f>
        <v>423068.52000000008</v>
      </c>
      <c r="AR655" s="3">
        <f>13715.93+21539.78</f>
        <v>35255.71</v>
      </c>
      <c r="AS655" s="3">
        <f>13662.8+21592.91</f>
        <v>35255.71</v>
      </c>
      <c r="AT655" s="3">
        <f>13609.53+21646.18</f>
        <v>35255.71</v>
      </c>
      <c r="AU655" s="3">
        <f>13556.14+21699.57</f>
        <v>35255.71</v>
      </c>
      <c r="AV655" s="3">
        <f>13502.61+21753.1</f>
        <v>35255.71</v>
      </c>
      <c r="AW655" s="3">
        <f>13448.96+21806.75</f>
        <v>35255.71</v>
      </c>
      <c r="AX655" s="3">
        <f>13395.17+21860.54</f>
        <v>35255.71</v>
      </c>
      <c r="AY655" s="3">
        <f>13341.24+21914.47</f>
        <v>35255.71</v>
      </c>
      <c r="AZ655" s="3">
        <f>13287.19+21968.52</f>
        <v>35255.71</v>
      </c>
      <c r="BA655" s="3">
        <f>13233+22022.71</f>
        <v>35255.71</v>
      </c>
      <c r="BB655" s="3">
        <f>13178.68+22077.03</f>
        <v>35255.71</v>
      </c>
      <c r="BC655" s="3">
        <f>13124.22+22131.49</f>
        <v>35255.71</v>
      </c>
      <c r="BD655" s="3">
        <f>SUM(AR655:BC655)</f>
        <v>423068.52000000008</v>
      </c>
    </row>
    <row r="656" spans="1:56" ht="13.5" thickBot="1" x14ac:dyDescent="0.35">
      <c r="D656" s="13" t="s">
        <v>317</v>
      </c>
      <c r="E656" s="14">
        <f t="shared" ref="E656:P656" si="547">SUM(E653:E655)</f>
        <v>35505.17</v>
      </c>
      <c r="F656" s="14">
        <f t="shared" si="547"/>
        <v>35256.25</v>
      </c>
      <c r="G656" s="14">
        <f t="shared" si="547"/>
        <v>35255.71</v>
      </c>
      <c r="H656" s="14">
        <f t="shared" si="547"/>
        <v>35255.71</v>
      </c>
      <c r="I656" s="14">
        <f t="shared" si="547"/>
        <v>35255.71</v>
      </c>
      <c r="J656" s="14">
        <f t="shared" si="547"/>
        <v>35255.71</v>
      </c>
      <c r="K656" s="14">
        <f t="shared" si="547"/>
        <v>35255.71</v>
      </c>
      <c r="L656" s="14">
        <f t="shared" si="547"/>
        <v>35255.71</v>
      </c>
      <c r="M656" s="14">
        <f t="shared" si="547"/>
        <v>35255.71</v>
      </c>
      <c r="N656" s="14">
        <f t="shared" si="547"/>
        <v>35255.71</v>
      </c>
      <c r="O656" s="14">
        <f t="shared" si="547"/>
        <v>35255.71</v>
      </c>
      <c r="P656" s="14">
        <f t="shared" si="547"/>
        <v>35255.71</v>
      </c>
      <c r="Q656" s="14">
        <f>SUM(Q653:Q655)</f>
        <v>423318.52000000008</v>
      </c>
      <c r="R656" s="14">
        <f t="shared" ref="R656:AC656" si="548">SUM(R653:R655)</f>
        <v>35505.71</v>
      </c>
      <c r="S656" s="14">
        <f t="shared" si="548"/>
        <v>35255.71</v>
      </c>
      <c r="T656" s="14">
        <f t="shared" si="548"/>
        <v>35255.71</v>
      </c>
      <c r="U656" s="14">
        <f t="shared" si="548"/>
        <v>35255.71</v>
      </c>
      <c r="V656" s="14">
        <f t="shared" si="548"/>
        <v>35255.71</v>
      </c>
      <c r="W656" s="14">
        <f t="shared" si="548"/>
        <v>35255.71</v>
      </c>
      <c r="X656" s="14">
        <f t="shared" si="548"/>
        <v>35255.71</v>
      </c>
      <c r="Y656" s="14">
        <f t="shared" si="548"/>
        <v>35255.71</v>
      </c>
      <c r="Z656" s="14">
        <f t="shared" si="548"/>
        <v>35255.71</v>
      </c>
      <c r="AA656" s="14">
        <f t="shared" si="548"/>
        <v>35255.71</v>
      </c>
      <c r="AB656" s="14">
        <f t="shared" si="548"/>
        <v>35255.71</v>
      </c>
      <c r="AC656" s="14">
        <f t="shared" si="548"/>
        <v>35255.71</v>
      </c>
      <c r="AD656" s="14">
        <f>SUM(AD653:AD655)</f>
        <v>423318.52000000008</v>
      </c>
      <c r="AE656" s="14">
        <f>SUM(AE653:AE655)</f>
        <v>35505.71</v>
      </c>
      <c r="AF656" s="14">
        <f>SUM(AF653:AF655)</f>
        <v>35255.71</v>
      </c>
      <c r="AG656" s="14">
        <f t="shared" ref="AG656:AP656" si="549">SUM(AG653:AG655)</f>
        <v>35255.71</v>
      </c>
      <c r="AH656" s="14">
        <f t="shared" si="549"/>
        <v>35255.71</v>
      </c>
      <c r="AI656" s="14">
        <f t="shared" si="549"/>
        <v>35255.71</v>
      </c>
      <c r="AJ656" s="14">
        <f t="shared" si="549"/>
        <v>35255.71</v>
      </c>
      <c r="AK656" s="14">
        <f t="shared" si="549"/>
        <v>35255.71</v>
      </c>
      <c r="AL656" s="14">
        <f t="shared" si="549"/>
        <v>35255.71</v>
      </c>
      <c r="AM656" s="14">
        <f t="shared" si="549"/>
        <v>35255.71</v>
      </c>
      <c r="AN656" s="14">
        <f t="shared" si="549"/>
        <v>35255.71</v>
      </c>
      <c r="AO656" s="14">
        <f t="shared" si="549"/>
        <v>35255.71</v>
      </c>
      <c r="AP656" s="14">
        <f t="shared" si="549"/>
        <v>35255.71</v>
      </c>
      <c r="AQ656" s="22">
        <f>SUM(AQ653:AQ655)</f>
        <v>423318.52000000008</v>
      </c>
      <c r="AR656" s="22">
        <f t="shared" ref="AR656:BD656" si="550">SUM(AR653:AR655)</f>
        <v>35505.71</v>
      </c>
      <c r="AS656" s="22">
        <f t="shared" si="550"/>
        <v>35255.71</v>
      </c>
      <c r="AT656" s="22">
        <f t="shared" si="550"/>
        <v>35255.71</v>
      </c>
      <c r="AU656" s="22">
        <f t="shared" si="550"/>
        <v>35255.71</v>
      </c>
      <c r="AV656" s="22">
        <f t="shared" si="550"/>
        <v>35255.71</v>
      </c>
      <c r="AW656" s="22">
        <f t="shared" si="550"/>
        <v>35255.71</v>
      </c>
      <c r="AX656" s="22">
        <f t="shared" si="550"/>
        <v>35255.71</v>
      </c>
      <c r="AY656" s="22">
        <f t="shared" si="550"/>
        <v>35255.71</v>
      </c>
      <c r="AZ656" s="22">
        <f t="shared" si="550"/>
        <v>35255.71</v>
      </c>
      <c r="BA656" s="22">
        <f t="shared" si="550"/>
        <v>35255.71</v>
      </c>
      <c r="BB656" s="22">
        <f t="shared" si="550"/>
        <v>35255.71</v>
      </c>
      <c r="BC656" s="22">
        <f t="shared" si="550"/>
        <v>35255.71</v>
      </c>
      <c r="BD656" s="22">
        <f t="shared" si="550"/>
        <v>423318.52000000008</v>
      </c>
    </row>
    <row r="657" spans="1:56" x14ac:dyDescent="0.3">
      <c r="D657" s="15"/>
    </row>
    <row r="658" spans="1:56" ht="15.5" x14ac:dyDescent="0.35">
      <c r="B658" s="20">
        <f>+B652+1</f>
        <v>77</v>
      </c>
      <c r="C658" s="1" t="s">
        <v>14</v>
      </c>
      <c r="D658" s="25" t="s">
        <v>318</v>
      </c>
    </row>
    <row r="659" spans="1:56" x14ac:dyDescent="0.3">
      <c r="D659" s="8" t="s">
        <v>8</v>
      </c>
      <c r="E659" s="12">
        <v>803.18</v>
      </c>
      <c r="F659" s="12">
        <v>803.18</v>
      </c>
      <c r="G659" s="12">
        <v>803.18</v>
      </c>
      <c r="H659" s="12">
        <v>803.18</v>
      </c>
      <c r="I659" s="12">
        <v>803.18</v>
      </c>
      <c r="J659" s="12">
        <v>803.18</v>
      </c>
      <c r="K659" s="12">
        <v>803.18</v>
      </c>
      <c r="L659" s="12">
        <v>803.18</v>
      </c>
      <c r="M659" s="12">
        <v>803.18</v>
      </c>
      <c r="N659" s="11">
        <v>721.67</v>
      </c>
      <c r="O659" s="11">
        <v>721.67</v>
      </c>
      <c r="P659" s="11">
        <v>721.67</v>
      </c>
      <c r="Q659" s="12">
        <f>SUM(E659:P659)</f>
        <v>9393.630000000001</v>
      </c>
      <c r="R659" s="11">
        <v>721.67</v>
      </c>
      <c r="S659" s="11">
        <v>721.67</v>
      </c>
      <c r="T659" s="11">
        <v>721.67</v>
      </c>
      <c r="U659" s="11">
        <v>721.67</v>
      </c>
      <c r="V659" s="11">
        <v>721.67</v>
      </c>
      <c r="W659" s="11">
        <v>721.67</v>
      </c>
      <c r="X659" s="11">
        <v>721.67</v>
      </c>
      <c r="Y659" s="11">
        <v>721.67</v>
      </c>
      <c r="Z659" s="11">
        <v>721.67</v>
      </c>
      <c r="AA659" s="11">
        <v>710</v>
      </c>
      <c r="AB659" s="11">
        <v>710</v>
      </c>
      <c r="AC659" s="11">
        <v>710</v>
      </c>
      <c r="AD659" s="12">
        <f>SUM(R659:AC659)</f>
        <v>8625.0299999999988</v>
      </c>
      <c r="AE659" s="11">
        <v>710</v>
      </c>
      <c r="AF659" s="11">
        <v>710</v>
      </c>
      <c r="AG659" s="11">
        <v>710</v>
      </c>
      <c r="AH659" s="11">
        <v>710</v>
      </c>
      <c r="AI659" s="11">
        <v>710</v>
      </c>
      <c r="AJ659" s="11">
        <v>710</v>
      </c>
      <c r="AK659" s="11">
        <v>710</v>
      </c>
      <c r="AL659" s="11">
        <v>710</v>
      </c>
      <c r="AM659" s="11">
        <v>710</v>
      </c>
      <c r="AN659" s="12">
        <v>697.92</v>
      </c>
      <c r="AO659" s="12">
        <v>697.92</v>
      </c>
      <c r="AP659" s="12">
        <v>697.92</v>
      </c>
      <c r="AQ659" s="3">
        <f>SUM(AE659:AP659)</f>
        <v>8483.76</v>
      </c>
      <c r="AR659" s="3">
        <v>697.92</v>
      </c>
      <c r="AS659" s="3">
        <v>697.92</v>
      </c>
      <c r="AT659" s="3">
        <v>697.92</v>
      </c>
      <c r="AU659" s="3">
        <v>697.92</v>
      </c>
      <c r="AV659" s="3">
        <v>697.92</v>
      </c>
      <c r="AW659" s="3">
        <v>697.92</v>
      </c>
      <c r="AX659" s="3">
        <v>697.92</v>
      </c>
      <c r="AY659" s="3">
        <v>697.92</v>
      </c>
      <c r="AZ659" s="3">
        <v>697.92</v>
      </c>
      <c r="BA659" s="3">
        <v>685.42</v>
      </c>
      <c r="BB659" s="3">
        <v>685.42</v>
      </c>
      <c r="BC659" s="3">
        <v>685.42</v>
      </c>
      <c r="BD659" s="3">
        <f>SUM(AR659:BC659)</f>
        <v>8337.5399999999991</v>
      </c>
    </row>
    <row r="660" spans="1:56" x14ac:dyDescent="0.3">
      <c r="D660" s="8" t="s">
        <v>9</v>
      </c>
      <c r="E660" s="11">
        <v>250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2">
        <f>SUM(E660:P660)</f>
        <v>250</v>
      </c>
      <c r="R660" s="11">
        <v>250</v>
      </c>
      <c r="AD660" s="12">
        <f>SUM(R660:AC660)</f>
        <v>250</v>
      </c>
      <c r="AE660" s="11">
        <v>250</v>
      </c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3">
        <f>SUM(AE660:AP660)</f>
        <v>250</v>
      </c>
      <c r="AR660" s="3">
        <v>250</v>
      </c>
      <c r="AS660" s="3">
        <v>0</v>
      </c>
      <c r="AT660" s="3">
        <v>0</v>
      </c>
      <c r="AU660" s="3">
        <v>0</v>
      </c>
      <c r="AV660" s="3">
        <v>0</v>
      </c>
      <c r="AW660" s="3">
        <v>0</v>
      </c>
      <c r="AX660" s="3">
        <v>0</v>
      </c>
      <c r="AY660" s="3">
        <v>0</v>
      </c>
      <c r="AZ660" s="3">
        <v>0</v>
      </c>
      <c r="BA660" s="3">
        <v>0</v>
      </c>
      <c r="BB660" s="3">
        <v>0</v>
      </c>
      <c r="BC660" s="3">
        <v>0</v>
      </c>
      <c r="BD660" s="3">
        <f>SUM(AR660:BC660)</f>
        <v>250</v>
      </c>
    </row>
    <row r="661" spans="1:56" ht="13.5" thickBot="1" x14ac:dyDescent="0.35">
      <c r="A661" t="s">
        <v>319</v>
      </c>
      <c r="D661" s="8" t="s">
        <v>10</v>
      </c>
      <c r="E661" s="12">
        <f>17500+30758.71</f>
        <v>48258.71</v>
      </c>
      <c r="F661" s="12">
        <f>17500+30758.7</f>
        <v>48258.7</v>
      </c>
      <c r="G661" s="11">
        <f>17500+26941.93</f>
        <v>44441.93</v>
      </c>
      <c r="H661" s="11">
        <f>17500+26941.93</f>
        <v>44441.93</v>
      </c>
      <c r="I661" s="11">
        <f>17500+26941.93</f>
        <v>44441.93</v>
      </c>
      <c r="J661" s="11">
        <f>17500+26941.93</f>
        <v>44441.93</v>
      </c>
      <c r="K661" s="11">
        <f>17500+26941.93</f>
        <v>44441.93</v>
      </c>
      <c r="L661" s="11">
        <f>17500+26941.95</f>
        <v>44441.95</v>
      </c>
      <c r="M661" s="11">
        <f>11666.67+26585.34</f>
        <v>38252.01</v>
      </c>
      <c r="N661" s="11">
        <f>11666.67+26585.34</f>
        <v>38252.01</v>
      </c>
      <c r="O661" s="11">
        <f>11666.67+26585.34</f>
        <v>38252.01</v>
      </c>
      <c r="P661" s="11">
        <f>11666.67+26585.34</f>
        <v>38252.01</v>
      </c>
      <c r="Q661" s="12">
        <f>SUM(E661:P661)</f>
        <v>516177.05000000005</v>
      </c>
      <c r="R661" s="11">
        <f t="shared" ref="R661:X661" si="551">11666.67+26585.34</f>
        <v>38252.01</v>
      </c>
      <c r="S661" s="11">
        <f>11666.67+26585.35</f>
        <v>38252.019999999997</v>
      </c>
      <c r="T661" s="11">
        <f t="shared" si="551"/>
        <v>38252.01</v>
      </c>
      <c r="U661" s="11">
        <f t="shared" si="551"/>
        <v>38252.01</v>
      </c>
      <c r="V661" s="11">
        <f t="shared" si="551"/>
        <v>38252.01</v>
      </c>
      <c r="W661" s="11">
        <f t="shared" si="551"/>
        <v>38252.01</v>
      </c>
      <c r="X661" s="11">
        <f t="shared" si="551"/>
        <v>38252.01</v>
      </c>
      <c r="Y661" s="11">
        <f>11666.63+26585.35</f>
        <v>38251.979999999996</v>
      </c>
      <c r="Z661" s="11">
        <f>12083.33+26302.56</f>
        <v>38385.89</v>
      </c>
      <c r="AA661" s="11">
        <f>12083.33+26302.56</f>
        <v>38385.89</v>
      </c>
      <c r="AB661" s="11">
        <f>12083.33+26302.56</f>
        <v>38385.89</v>
      </c>
      <c r="AC661" s="11">
        <f>12083.33+26302.56</f>
        <v>38385.89</v>
      </c>
      <c r="AD661" s="12">
        <f>SUM(R661:AC661)</f>
        <v>459559.62000000005</v>
      </c>
      <c r="AE661" s="11">
        <f t="shared" ref="AE661:AK661" si="552">12083.33+26302.56</f>
        <v>38385.89</v>
      </c>
      <c r="AF661" s="11">
        <f>12083.33+26302.55</f>
        <v>38385.879999999997</v>
      </c>
      <c r="AG661" s="11">
        <f t="shared" si="552"/>
        <v>38385.89</v>
      </c>
      <c r="AH661" s="11">
        <f t="shared" si="552"/>
        <v>38385.89</v>
      </c>
      <c r="AI661" s="11">
        <f t="shared" si="552"/>
        <v>38385.89</v>
      </c>
      <c r="AJ661" s="11">
        <f t="shared" si="552"/>
        <v>38385.89</v>
      </c>
      <c r="AK661" s="11">
        <f t="shared" si="552"/>
        <v>38385.89</v>
      </c>
      <c r="AL661" s="11">
        <f>12083.37+26302.55</f>
        <v>38385.919999999998</v>
      </c>
      <c r="AM661" s="12">
        <f>12500+26008.34</f>
        <v>38508.339999999997</v>
      </c>
      <c r="AN661" s="12">
        <f>12500+26008.34</f>
        <v>38508.339999999997</v>
      </c>
      <c r="AO661" s="12">
        <f>12500+26008.34</f>
        <v>38508.339999999997</v>
      </c>
      <c r="AP661" s="12">
        <f>12500+26008.34</f>
        <v>38508.339999999997</v>
      </c>
      <c r="AQ661" s="3">
        <f>SUM(AE661:AP661)</f>
        <v>461120.49999999988</v>
      </c>
      <c r="AR661" s="3">
        <f>12500+26008.34</f>
        <v>38508.339999999997</v>
      </c>
      <c r="AS661" s="3">
        <f>12500+26008.35</f>
        <v>38508.35</v>
      </c>
      <c r="AT661" s="3">
        <f>12500+26008.34</f>
        <v>38508.339999999997</v>
      </c>
      <c r="AU661" s="3">
        <f t="shared" ref="AU661:AX661" si="553">12500+26008.34</f>
        <v>38508.339999999997</v>
      </c>
      <c r="AV661" s="3">
        <f t="shared" si="553"/>
        <v>38508.339999999997</v>
      </c>
      <c r="AW661" s="3">
        <f t="shared" si="553"/>
        <v>38508.339999999997</v>
      </c>
      <c r="AX661" s="3">
        <f t="shared" si="553"/>
        <v>38508.339999999997</v>
      </c>
      <c r="AY661" s="3">
        <f>12500+26008.35</f>
        <v>38508.35</v>
      </c>
      <c r="AZ661" s="3">
        <f>12500+25708.92</f>
        <v>38208.92</v>
      </c>
      <c r="BA661" s="3">
        <f t="shared" ref="BA661:BC661" si="554">12500+25708.92</f>
        <v>38208.92</v>
      </c>
      <c r="BB661" s="3">
        <f t="shared" si="554"/>
        <v>38208.92</v>
      </c>
      <c r="BC661" s="3">
        <f t="shared" si="554"/>
        <v>38208.92</v>
      </c>
      <c r="BD661" s="3">
        <f>SUM(AR661:BC661)</f>
        <v>460902.41999999993</v>
      </c>
    </row>
    <row r="662" spans="1:56" ht="13.5" thickBot="1" x14ac:dyDescent="0.35">
      <c r="D662" s="13" t="s">
        <v>320</v>
      </c>
      <c r="E662" s="14">
        <f t="shared" ref="E662:P662" si="555">SUM(E659:E661)</f>
        <v>49311.89</v>
      </c>
      <c r="F662" s="14">
        <f t="shared" si="555"/>
        <v>49061.88</v>
      </c>
      <c r="G662" s="14">
        <f t="shared" si="555"/>
        <v>45245.11</v>
      </c>
      <c r="H662" s="14">
        <f t="shared" si="555"/>
        <v>45245.11</v>
      </c>
      <c r="I662" s="14">
        <f t="shared" si="555"/>
        <v>45245.11</v>
      </c>
      <c r="J662" s="14">
        <f t="shared" si="555"/>
        <v>45245.11</v>
      </c>
      <c r="K662" s="14">
        <f t="shared" si="555"/>
        <v>45245.11</v>
      </c>
      <c r="L662" s="14">
        <f t="shared" si="555"/>
        <v>45245.13</v>
      </c>
      <c r="M662" s="14">
        <f t="shared" si="555"/>
        <v>39055.19</v>
      </c>
      <c r="N662" s="14">
        <f t="shared" si="555"/>
        <v>38973.68</v>
      </c>
      <c r="O662" s="14">
        <f t="shared" si="555"/>
        <v>38973.68</v>
      </c>
      <c r="P662" s="14">
        <f t="shared" si="555"/>
        <v>38973.68</v>
      </c>
      <c r="Q662" s="14">
        <f>SUM(Q659:Q661)</f>
        <v>525820.68000000005</v>
      </c>
      <c r="R662" s="14">
        <f t="shared" ref="R662:AC662" si="556">SUM(R659:R661)</f>
        <v>39223.68</v>
      </c>
      <c r="S662" s="14">
        <f t="shared" si="556"/>
        <v>38973.689999999995</v>
      </c>
      <c r="T662" s="14">
        <f t="shared" si="556"/>
        <v>38973.68</v>
      </c>
      <c r="U662" s="14">
        <f t="shared" si="556"/>
        <v>38973.68</v>
      </c>
      <c r="V662" s="14">
        <f t="shared" si="556"/>
        <v>38973.68</v>
      </c>
      <c r="W662" s="14">
        <f t="shared" si="556"/>
        <v>38973.68</v>
      </c>
      <c r="X662" s="14">
        <f t="shared" si="556"/>
        <v>38973.68</v>
      </c>
      <c r="Y662" s="14">
        <f t="shared" si="556"/>
        <v>38973.649999999994</v>
      </c>
      <c r="Z662" s="14">
        <f t="shared" si="556"/>
        <v>39107.56</v>
      </c>
      <c r="AA662" s="14">
        <f t="shared" si="556"/>
        <v>39095.89</v>
      </c>
      <c r="AB662" s="14">
        <f t="shared" si="556"/>
        <v>39095.89</v>
      </c>
      <c r="AC662" s="14">
        <f t="shared" si="556"/>
        <v>39095.89</v>
      </c>
      <c r="AD662" s="14">
        <f>SUM(AD659:AD661)</f>
        <v>468434.65</v>
      </c>
      <c r="AE662" s="14">
        <f>SUM(AE659:AE661)</f>
        <v>39345.89</v>
      </c>
      <c r="AF662" s="14">
        <f>SUM(AF659:AF661)</f>
        <v>39095.879999999997</v>
      </c>
      <c r="AG662" s="14">
        <f t="shared" ref="AG662:AP662" si="557">SUM(AG659:AG661)</f>
        <v>39095.89</v>
      </c>
      <c r="AH662" s="14">
        <f t="shared" si="557"/>
        <v>39095.89</v>
      </c>
      <c r="AI662" s="14">
        <f t="shared" si="557"/>
        <v>39095.89</v>
      </c>
      <c r="AJ662" s="14">
        <f t="shared" si="557"/>
        <v>39095.89</v>
      </c>
      <c r="AK662" s="14">
        <f t="shared" si="557"/>
        <v>39095.89</v>
      </c>
      <c r="AL662" s="14">
        <f t="shared" si="557"/>
        <v>39095.919999999998</v>
      </c>
      <c r="AM662" s="14">
        <f t="shared" si="557"/>
        <v>39218.339999999997</v>
      </c>
      <c r="AN662" s="14">
        <f t="shared" si="557"/>
        <v>39206.259999999995</v>
      </c>
      <c r="AO662" s="14">
        <f t="shared" si="557"/>
        <v>39206.259999999995</v>
      </c>
      <c r="AP662" s="14">
        <f t="shared" si="557"/>
        <v>39206.259999999995</v>
      </c>
      <c r="AQ662" s="22">
        <f>SUM(AQ659:AQ661)</f>
        <v>469854.25999999989</v>
      </c>
      <c r="AR662" s="22">
        <f t="shared" ref="AR662:BD662" si="558">SUM(AR659:AR661)</f>
        <v>39456.259999999995</v>
      </c>
      <c r="AS662" s="22">
        <f t="shared" si="558"/>
        <v>39206.269999999997</v>
      </c>
      <c r="AT662" s="22">
        <f t="shared" si="558"/>
        <v>39206.259999999995</v>
      </c>
      <c r="AU662" s="22">
        <f t="shared" si="558"/>
        <v>39206.259999999995</v>
      </c>
      <c r="AV662" s="22">
        <f t="shared" si="558"/>
        <v>39206.259999999995</v>
      </c>
      <c r="AW662" s="22">
        <f t="shared" si="558"/>
        <v>39206.259999999995</v>
      </c>
      <c r="AX662" s="22">
        <f t="shared" si="558"/>
        <v>39206.259999999995</v>
      </c>
      <c r="AY662" s="22">
        <f t="shared" si="558"/>
        <v>39206.269999999997</v>
      </c>
      <c r="AZ662" s="22">
        <f t="shared" si="558"/>
        <v>38906.839999999997</v>
      </c>
      <c r="BA662" s="22">
        <f t="shared" si="558"/>
        <v>38894.339999999997</v>
      </c>
      <c r="BB662" s="22">
        <f t="shared" si="558"/>
        <v>38894.339999999997</v>
      </c>
      <c r="BC662" s="22">
        <f t="shared" si="558"/>
        <v>38894.339999999997</v>
      </c>
      <c r="BD662" s="22">
        <f t="shared" si="558"/>
        <v>469489.9599999999</v>
      </c>
    </row>
    <row r="663" spans="1:56" x14ac:dyDescent="0.3">
      <c r="D663" s="15"/>
    </row>
    <row r="664" spans="1:56" ht="15.5" x14ac:dyDescent="0.35">
      <c r="B664" s="20">
        <f>+B658+1</f>
        <v>78</v>
      </c>
      <c r="C664" s="1" t="s">
        <v>14</v>
      </c>
      <c r="D664" s="25" t="s">
        <v>321</v>
      </c>
    </row>
    <row r="665" spans="1:56" x14ac:dyDescent="0.3">
      <c r="D665" s="8" t="s">
        <v>8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f>SUM(E665:P665)</f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f>SUM(R665:AC665)</f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12">
        <v>0</v>
      </c>
      <c r="AN665" s="12">
        <v>0</v>
      </c>
      <c r="AO665" s="12">
        <v>0</v>
      </c>
      <c r="AP665" s="12">
        <v>0</v>
      </c>
      <c r="AQ665" s="3">
        <f>SUM(AE665:AP665)</f>
        <v>0</v>
      </c>
      <c r="AR665" s="3">
        <v>0</v>
      </c>
      <c r="AS665" s="3">
        <v>0</v>
      </c>
      <c r="AT665" s="3">
        <v>0</v>
      </c>
      <c r="AU665" s="3">
        <v>0</v>
      </c>
      <c r="AV665" s="3">
        <v>0</v>
      </c>
      <c r="AW665" s="3">
        <v>0</v>
      </c>
      <c r="AX665" s="3">
        <v>0</v>
      </c>
      <c r="AY665" s="3">
        <v>0</v>
      </c>
      <c r="AZ665" s="3">
        <v>0</v>
      </c>
      <c r="BA665" s="3">
        <v>0</v>
      </c>
      <c r="BB665" s="3">
        <v>0</v>
      </c>
      <c r="BC665" s="3">
        <v>0</v>
      </c>
      <c r="BD665" s="3">
        <f>SUM(AR665:BC665)</f>
        <v>0</v>
      </c>
    </row>
    <row r="666" spans="1:56" x14ac:dyDescent="0.3">
      <c r="D666" s="8" t="s">
        <v>9</v>
      </c>
      <c r="E666" s="11">
        <v>250</v>
      </c>
      <c r="Q666" s="12">
        <f>SUM(E666:P666)</f>
        <v>250</v>
      </c>
      <c r="R666" s="11">
        <v>250</v>
      </c>
      <c r="AD666" s="12">
        <f>SUM(R666:AC666)</f>
        <v>250</v>
      </c>
      <c r="AE666" s="11">
        <v>250</v>
      </c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3">
        <f>SUM(AE666:AP666)</f>
        <v>250</v>
      </c>
      <c r="AR666" s="3">
        <v>250</v>
      </c>
      <c r="AS666" s="3">
        <v>0</v>
      </c>
      <c r="AT666" s="3">
        <v>0</v>
      </c>
      <c r="AU666" s="3">
        <v>0</v>
      </c>
      <c r="AV666" s="3">
        <v>0</v>
      </c>
      <c r="AW666" s="3">
        <v>0</v>
      </c>
      <c r="AX666" s="3">
        <v>0</v>
      </c>
      <c r="AY666" s="3">
        <v>0</v>
      </c>
      <c r="AZ666" s="3">
        <v>0</v>
      </c>
      <c r="BA666" s="3">
        <v>0</v>
      </c>
      <c r="BB666" s="3">
        <v>0</v>
      </c>
      <c r="BC666" s="3">
        <v>0</v>
      </c>
      <c r="BD666" s="3">
        <f>SUM(AR666:BC666)</f>
        <v>250</v>
      </c>
    </row>
    <row r="667" spans="1:56" ht="13.5" thickBot="1" x14ac:dyDescent="0.35">
      <c r="A667" t="s">
        <v>322</v>
      </c>
      <c r="D667" s="8" t="s">
        <v>10</v>
      </c>
      <c r="E667" s="17">
        <f>13067.56+12148.74-6092.13</f>
        <v>19124.169999999998</v>
      </c>
      <c r="F667" s="11">
        <v>25216.29</v>
      </c>
      <c r="G667" s="11">
        <v>25216.29</v>
      </c>
      <c r="H667" s="11">
        <v>25216.29</v>
      </c>
      <c r="I667" s="11">
        <v>25216.3</v>
      </c>
      <c r="J667" s="11">
        <v>25216.29</v>
      </c>
      <c r="K667" s="11">
        <v>25216.29</v>
      </c>
      <c r="L667" s="11">
        <v>25216.29</v>
      </c>
      <c r="M667" s="11">
        <v>25216.29</v>
      </c>
      <c r="N667" s="11">
        <v>25216.29</v>
      </c>
      <c r="O667" s="11">
        <v>25216.3</v>
      </c>
      <c r="P667" s="11">
        <v>25216.3</v>
      </c>
      <c r="Q667" s="12">
        <f>SUM(E667:P667)</f>
        <v>296503.39</v>
      </c>
      <c r="R667" s="11">
        <v>25216.29</v>
      </c>
      <c r="S667" s="11">
        <v>25216.3</v>
      </c>
      <c r="T667" s="11">
        <v>25216.29</v>
      </c>
      <c r="U667" s="11">
        <v>25216.29</v>
      </c>
      <c r="V667" s="11">
        <v>25216.29</v>
      </c>
      <c r="W667" s="11">
        <v>25216.29</v>
      </c>
      <c r="X667" s="11">
        <v>25216.29</v>
      </c>
      <c r="Y667" s="11">
        <v>25216.29</v>
      </c>
      <c r="Z667" s="11">
        <v>25216.3</v>
      </c>
      <c r="AA667" s="11">
        <v>25216.3</v>
      </c>
      <c r="AB667" s="11">
        <v>25216.29</v>
      </c>
      <c r="AC667" s="11">
        <v>25216.29</v>
      </c>
      <c r="AD667" s="12">
        <f>SUM(R667:AC667)</f>
        <v>302595.51</v>
      </c>
      <c r="AE667" s="11">
        <v>25216.29</v>
      </c>
      <c r="AF667" s="11">
        <v>25216.29</v>
      </c>
      <c r="AG667" s="11">
        <v>25216.29</v>
      </c>
      <c r="AH667" s="11">
        <v>25216.29</v>
      </c>
      <c r="AI667" s="11">
        <v>25216.29</v>
      </c>
      <c r="AJ667" s="11">
        <v>25216.29</v>
      </c>
      <c r="AK667" s="11">
        <v>25216.29</v>
      </c>
      <c r="AL667" s="11">
        <v>25216.29</v>
      </c>
      <c r="AM667" s="11">
        <v>25216.29</v>
      </c>
      <c r="AN667" s="11">
        <v>25216.29</v>
      </c>
      <c r="AO667" s="11">
        <v>25216.29</v>
      </c>
      <c r="AP667" s="11">
        <v>25216.29</v>
      </c>
      <c r="AQ667" s="3">
        <f>SUM(AE667:AP667)</f>
        <v>302595.48000000004</v>
      </c>
      <c r="AR667" s="3">
        <f>14147.6+11068.69</f>
        <v>25216.29</v>
      </c>
      <c r="AS667" s="3">
        <f>14178.84+11037.45</f>
        <v>25216.29</v>
      </c>
      <c r="AT667" s="3">
        <f>14210.15+11006.14</f>
        <v>25216.29</v>
      </c>
      <c r="AU667" s="3">
        <f>14241.53+10974.76</f>
        <v>25216.29</v>
      </c>
      <c r="AV667" s="3">
        <f>14272.98+10943.31</f>
        <v>25216.29</v>
      </c>
      <c r="AW667" s="3">
        <f>14304.5+10911.79</f>
        <v>25216.29</v>
      </c>
      <c r="AX667" s="3">
        <f>14336.09+10880.2</f>
        <v>25216.29</v>
      </c>
      <c r="AY667" s="3">
        <f>14367.75+10848.54</f>
        <v>25216.29</v>
      </c>
      <c r="AZ667" s="3">
        <f>14399.49+10816.81</f>
        <v>25216.3</v>
      </c>
      <c r="BA667" s="3">
        <f>14431.28+10785.01</f>
        <v>25216.29</v>
      </c>
      <c r="BB667" s="3">
        <f>14463.15+10753.14</f>
        <v>25216.29</v>
      </c>
      <c r="BC667" s="3">
        <f>14495.09+10721.21</f>
        <v>25216.3</v>
      </c>
      <c r="BD667" s="3">
        <f>SUM(AR667:BC667)</f>
        <v>302595.5</v>
      </c>
    </row>
    <row r="668" spans="1:56" ht="13.5" thickBot="1" x14ac:dyDescent="0.35">
      <c r="D668" s="13" t="s">
        <v>323</v>
      </c>
      <c r="E668" s="14">
        <f>SUM(E665:E667)</f>
        <v>19374.169999999998</v>
      </c>
      <c r="F668" s="14">
        <f t="shared" ref="F668:AC668" si="559">SUM(F665:F667)</f>
        <v>25216.29</v>
      </c>
      <c r="G668" s="14">
        <f t="shared" si="559"/>
        <v>25216.29</v>
      </c>
      <c r="H668" s="14">
        <f t="shared" si="559"/>
        <v>25216.29</v>
      </c>
      <c r="I668" s="14">
        <f t="shared" si="559"/>
        <v>25216.3</v>
      </c>
      <c r="J668" s="14">
        <f t="shared" si="559"/>
        <v>25216.29</v>
      </c>
      <c r="K668" s="14">
        <f t="shared" si="559"/>
        <v>25216.29</v>
      </c>
      <c r="L668" s="14">
        <f t="shared" si="559"/>
        <v>25216.29</v>
      </c>
      <c r="M668" s="14">
        <f t="shared" si="559"/>
        <v>25216.29</v>
      </c>
      <c r="N668" s="14">
        <f t="shared" si="559"/>
        <v>25216.29</v>
      </c>
      <c r="O668" s="14">
        <f t="shared" si="559"/>
        <v>25216.3</v>
      </c>
      <c r="P668" s="14">
        <f t="shared" si="559"/>
        <v>25216.3</v>
      </c>
      <c r="Q668" s="14">
        <f t="shared" si="559"/>
        <v>296753.39</v>
      </c>
      <c r="R668" s="14">
        <f t="shared" si="559"/>
        <v>25466.29</v>
      </c>
      <c r="S668" s="14">
        <f t="shared" si="559"/>
        <v>25216.3</v>
      </c>
      <c r="T668" s="14">
        <f t="shared" si="559"/>
        <v>25216.29</v>
      </c>
      <c r="U668" s="14">
        <f t="shared" si="559"/>
        <v>25216.29</v>
      </c>
      <c r="V668" s="14">
        <f t="shared" si="559"/>
        <v>25216.29</v>
      </c>
      <c r="W668" s="14">
        <f t="shared" si="559"/>
        <v>25216.29</v>
      </c>
      <c r="X668" s="14">
        <f t="shared" si="559"/>
        <v>25216.29</v>
      </c>
      <c r="Y668" s="14">
        <f t="shared" si="559"/>
        <v>25216.29</v>
      </c>
      <c r="Z668" s="14">
        <f t="shared" si="559"/>
        <v>25216.3</v>
      </c>
      <c r="AA668" s="14">
        <f t="shared" si="559"/>
        <v>25216.3</v>
      </c>
      <c r="AB668" s="14">
        <f t="shared" si="559"/>
        <v>25216.29</v>
      </c>
      <c r="AC668" s="14">
        <f t="shared" si="559"/>
        <v>25216.29</v>
      </c>
      <c r="AD668" s="14">
        <f>SUM(AD665:AD667)</f>
        <v>302845.51</v>
      </c>
      <c r="AE668" s="14">
        <f>SUM(AE665:AE667)</f>
        <v>25466.29</v>
      </c>
      <c r="AF668" s="14">
        <f>SUM(AF665:AF667)</f>
        <v>25216.29</v>
      </c>
      <c r="AG668" s="14">
        <f t="shared" ref="AG668:AP668" si="560">SUM(AG665:AG667)</f>
        <v>25216.29</v>
      </c>
      <c r="AH668" s="14">
        <f t="shared" si="560"/>
        <v>25216.29</v>
      </c>
      <c r="AI668" s="14">
        <f t="shared" si="560"/>
        <v>25216.29</v>
      </c>
      <c r="AJ668" s="14">
        <f t="shared" si="560"/>
        <v>25216.29</v>
      </c>
      <c r="AK668" s="14">
        <f t="shared" si="560"/>
        <v>25216.29</v>
      </c>
      <c r="AL668" s="14">
        <f t="shared" si="560"/>
        <v>25216.29</v>
      </c>
      <c r="AM668" s="14">
        <f t="shared" si="560"/>
        <v>25216.29</v>
      </c>
      <c r="AN668" s="14">
        <f t="shared" si="560"/>
        <v>25216.29</v>
      </c>
      <c r="AO668" s="14">
        <f t="shared" si="560"/>
        <v>25216.29</v>
      </c>
      <c r="AP668" s="14">
        <f t="shared" si="560"/>
        <v>25216.29</v>
      </c>
      <c r="AQ668" s="22">
        <f>SUM(AQ665:AQ667)</f>
        <v>302845.48000000004</v>
      </c>
      <c r="AR668" s="22">
        <f t="shared" ref="AR668:BD668" si="561">SUM(AR665:AR667)</f>
        <v>25466.29</v>
      </c>
      <c r="AS668" s="22">
        <f t="shared" si="561"/>
        <v>25216.29</v>
      </c>
      <c r="AT668" s="22">
        <f t="shared" si="561"/>
        <v>25216.29</v>
      </c>
      <c r="AU668" s="22">
        <f t="shared" si="561"/>
        <v>25216.29</v>
      </c>
      <c r="AV668" s="22">
        <f t="shared" si="561"/>
        <v>25216.29</v>
      </c>
      <c r="AW668" s="22">
        <f t="shared" si="561"/>
        <v>25216.29</v>
      </c>
      <c r="AX668" s="22">
        <f t="shared" si="561"/>
        <v>25216.29</v>
      </c>
      <c r="AY668" s="22">
        <f t="shared" si="561"/>
        <v>25216.29</v>
      </c>
      <c r="AZ668" s="22">
        <f t="shared" si="561"/>
        <v>25216.3</v>
      </c>
      <c r="BA668" s="22">
        <f t="shared" si="561"/>
        <v>25216.29</v>
      </c>
      <c r="BB668" s="22">
        <f t="shared" si="561"/>
        <v>25216.29</v>
      </c>
      <c r="BC668" s="22">
        <f t="shared" si="561"/>
        <v>25216.3</v>
      </c>
      <c r="BD668" s="22">
        <f t="shared" si="561"/>
        <v>302845.5</v>
      </c>
    </row>
    <row r="669" spans="1:56" x14ac:dyDescent="0.3">
      <c r="D669" s="15"/>
    </row>
    <row r="670" spans="1:56" ht="15.5" x14ac:dyDescent="0.35">
      <c r="B670" s="20">
        <f>+B664+1</f>
        <v>79</v>
      </c>
      <c r="C670" s="1" t="s">
        <v>14</v>
      </c>
      <c r="D670" s="25" t="s">
        <v>324</v>
      </c>
    </row>
    <row r="671" spans="1:56" x14ac:dyDescent="0.3">
      <c r="D671" s="8" t="s">
        <v>8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f>SUM(E671:P671)</f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f>SUM(R671:AC671)</f>
        <v>0</v>
      </c>
      <c r="AE671" s="12">
        <v>0</v>
      </c>
      <c r="AF671" s="12">
        <v>0</v>
      </c>
      <c r="AG671" s="12">
        <v>0</v>
      </c>
      <c r="AH671" s="12">
        <v>0</v>
      </c>
      <c r="AI671" s="12">
        <v>0</v>
      </c>
      <c r="AJ671" s="12">
        <v>0</v>
      </c>
      <c r="AK671" s="12">
        <v>0</v>
      </c>
      <c r="AL671" s="12">
        <v>0</v>
      </c>
      <c r="AM671" s="12">
        <v>0</v>
      </c>
      <c r="AN671" s="12">
        <v>0</v>
      </c>
      <c r="AO671" s="12">
        <v>0</v>
      </c>
      <c r="AP671" s="12">
        <v>0</v>
      </c>
      <c r="AQ671" s="3">
        <f>SUM(AE671:AP671)</f>
        <v>0</v>
      </c>
      <c r="AR671" s="3">
        <v>0</v>
      </c>
      <c r="AS671" s="3">
        <v>0</v>
      </c>
      <c r="AT671" s="3">
        <v>0</v>
      </c>
      <c r="AU671" s="3">
        <v>0</v>
      </c>
      <c r="AV671" s="3">
        <v>0</v>
      </c>
      <c r="AW671" s="3">
        <v>0</v>
      </c>
      <c r="AX671" s="3">
        <v>0</v>
      </c>
      <c r="AY671" s="3">
        <v>0</v>
      </c>
      <c r="AZ671" s="3">
        <v>0</v>
      </c>
      <c r="BA671" s="3">
        <v>0</v>
      </c>
      <c r="BB671" s="3">
        <v>0</v>
      </c>
      <c r="BC671" s="3">
        <v>0</v>
      </c>
      <c r="BD671" s="3">
        <f>SUM(AR671:BC671)</f>
        <v>0</v>
      </c>
    </row>
    <row r="672" spans="1:56" x14ac:dyDescent="0.3">
      <c r="D672" s="8" t="s">
        <v>9</v>
      </c>
      <c r="E672" s="11">
        <v>250</v>
      </c>
      <c r="Q672" s="12">
        <f>SUM(E672:P672)</f>
        <v>250</v>
      </c>
      <c r="R672" s="11">
        <v>250</v>
      </c>
      <c r="AD672" s="12">
        <f>SUM(R672:AC672)</f>
        <v>250</v>
      </c>
      <c r="AE672" s="11">
        <v>250</v>
      </c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3">
        <f>SUM(AE672:AP672)</f>
        <v>250</v>
      </c>
      <c r="AR672" s="3">
        <v>250</v>
      </c>
      <c r="AS672" s="3">
        <v>0</v>
      </c>
      <c r="AT672" s="3">
        <v>0</v>
      </c>
      <c r="AU672" s="3">
        <v>0</v>
      </c>
      <c r="AV672" s="3">
        <v>0</v>
      </c>
      <c r="AW672" s="3">
        <v>0</v>
      </c>
      <c r="AX672" s="3">
        <v>0</v>
      </c>
      <c r="AY672" s="3">
        <v>0</v>
      </c>
      <c r="AZ672" s="3">
        <v>0</v>
      </c>
      <c r="BA672" s="3">
        <v>0</v>
      </c>
      <c r="BB672" s="3">
        <v>0</v>
      </c>
      <c r="BC672" s="3">
        <v>0</v>
      </c>
      <c r="BD672" s="3">
        <f>SUM(AR672:BC672)</f>
        <v>250</v>
      </c>
    </row>
    <row r="673" spans="1:56" ht="13.5" thickBot="1" x14ac:dyDescent="0.35">
      <c r="A673" t="s">
        <v>325</v>
      </c>
      <c r="D673" s="8" t="s">
        <v>10</v>
      </c>
      <c r="E673" s="12">
        <v>87308</v>
      </c>
      <c r="F673" s="12">
        <v>87308</v>
      </c>
      <c r="G673" s="12">
        <v>87308</v>
      </c>
      <c r="H673" s="12">
        <v>87308</v>
      </c>
      <c r="I673" s="11">
        <v>83950</v>
      </c>
      <c r="J673" s="11">
        <v>83950</v>
      </c>
      <c r="K673" s="11">
        <v>83950</v>
      </c>
      <c r="L673" s="11">
        <v>83950</v>
      </c>
      <c r="M673" s="11">
        <v>83950</v>
      </c>
      <c r="N673" s="11">
        <v>83950</v>
      </c>
      <c r="O673" s="11">
        <v>83950</v>
      </c>
      <c r="P673" s="11">
        <v>83950</v>
      </c>
      <c r="Q673" s="12">
        <f>SUM(E673:P673)</f>
        <v>1020832</v>
      </c>
      <c r="R673" s="11">
        <v>83950</v>
      </c>
      <c r="S673" s="11">
        <v>83950</v>
      </c>
      <c r="T673" s="11">
        <v>83950</v>
      </c>
      <c r="U673" s="11">
        <v>83950</v>
      </c>
      <c r="V673" s="11">
        <v>83950</v>
      </c>
      <c r="W673" s="11">
        <v>83950</v>
      </c>
      <c r="X673" s="11">
        <v>83950</v>
      </c>
      <c r="Y673" s="11">
        <v>83950</v>
      </c>
      <c r="Z673" s="11">
        <v>83950</v>
      </c>
      <c r="AA673" s="11">
        <v>83950</v>
      </c>
      <c r="AB673" s="11">
        <f>24583.33+83950</f>
        <v>108533.33</v>
      </c>
      <c r="AC673" s="11">
        <f>24583.33+83950</f>
        <v>108533.33</v>
      </c>
      <c r="AD673" s="12">
        <f>SUM(R673:AC673)</f>
        <v>1056566.6599999999</v>
      </c>
      <c r="AE673" s="11">
        <f t="shared" ref="AE673:AN673" si="562">24583.33+83950</f>
        <v>108533.33</v>
      </c>
      <c r="AF673" s="11">
        <f t="shared" si="562"/>
        <v>108533.33</v>
      </c>
      <c r="AG673" s="11">
        <f t="shared" si="562"/>
        <v>108533.33</v>
      </c>
      <c r="AH673" s="11">
        <f t="shared" si="562"/>
        <v>108533.33</v>
      </c>
      <c r="AI673" s="11">
        <f t="shared" si="562"/>
        <v>108533.33</v>
      </c>
      <c r="AJ673" s="11">
        <f t="shared" si="562"/>
        <v>108533.33</v>
      </c>
      <c r="AK673" s="11">
        <f t="shared" si="562"/>
        <v>108533.33</v>
      </c>
      <c r="AL673" s="11">
        <f t="shared" si="562"/>
        <v>108533.33</v>
      </c>
      <c r="AM673" s="11">
        <f t="shared" si="562"/>
        <v>108533.33</v>
      </c>
      <c r="AN673" s="11">
        <f t="shared" si="562"/>
        <v>108533.33</v>
      </c>
      <c r="AO673" s="12">
        <f>25416.67+82966.67</f>
        <v>108383.34</v>
      </c>
      <c r="AP673" s="12">
        <f>25416.67+82966.67</f>
        <v>108383.34</v>
      </c>
      <c r="AQ673" s="3">
        <f>SUM(AE673:AP673)</f>
        <v>1302099.98</v>
      </c>
      <c r="AR673" s="3">
        <f>25416.67+82966.67</f>
        <v>108383.34</v>
      </c>
      <c r="AS673" s="3">
        <f>25416.67+82966.67</f>
        <v>108383.34</v>
      </c>
      <c r="AT673" s="3">
        <f t="shared" ref="AT673:BA673" si="563">25416.67+82966.67</f>
        <v>108383.34</v>
      </c>
      <c r="AU673" s="3">
        <f t="shared" si="563"/>
        <v>108383.34</v>
      </c>
      <c r="AV673" s="3">
        <f t="shared" si="563"/>
        <v>108383.34</v>
      </c>
      <c r="AW673" s="3">
        <f t="shared" si="563"/>
        <v>108383.34</v>
      </c>
      <c r="AX673" s="3">
        <f t="shared" si="563"/>
        <v>108383.34</v>
      </c>
      <c r="AY673" s="3">
        <f t="shared" si="563"/>
        <v>108383.34</v>
      </c>
      <c r="AZ673" s="3">
        <f t="shared" si="563"/>
        <v>108383.34</v>
      </c>
      <c r="BA673" s="3">
        <f t="shared" si="563"/>
        <v>108383.34</v>
      </c>
      <c r="BB673" s="3">
        <f>26250+81950</f>
        <v>108200</v>
      </c>
      <c r="BC673" s="3">
        <f>26250+81950</f>
        <v>108200</v>
      </c>
      <c r="BD673" s="3">
        <f>SUM(AR673:BC673)</f>
        <v>1300233.3999999999</v>
      </c>
    </row>
    <row r="674" spans="1:56" ht="13.5" thickBot="1" x14ac:dyDescent="0.35">
      <c r="D674" s="13" t="s">
        <v>326</v>
      </c>
      <c r="E674" s="14">
        <f t="shared" ref="E674:AC674" si="564">SUM(E671:E673)</f>
        <v>87558</v>
      </c>
      <c r="F674" s="14">
        <f t="shared" si="564"/>
        <v>87308</v>
      </c>
      <c r="G674" s="14">
        <f t="shared" si="564"/>
        <v>87308</v>
      </c>
      <c r="H674" s="14">
        <f t="shared" si="564"/>
        <v>87308</v>
      </c>
      <c r="I674" s="14">
        <f t="shared" si="564"/>
        <v>83950</v>
      </c>
      <c r="J674" s="14">
        <f t="shared" si="564"/>
        <v>83950</v>
      </c>
      <c r="K674" s="14">
        <f t="shared" si="564"/>
        <v>83950</v>
      </c>
      <c r="L674" s="14">
        <f t="shared" si="564"/>
        <v>83950</v>
      </c>
      <c r="M674" s="14">
        <f t="shared" si="564"/>
        <v>83950</v>
      </c>
      <c r="N674" s="14">
        <f t="shared" si="564"/>
        <v>83950</v>
      </c>
      <c r="O674" s="14">
        <f t="shared" si="564"/>
        <v>83950</v>
      </c>
      <c r="P674" s="14">
        <f t="shared" si="564"/>
        <v>83950</v>
      </c>
      <c r="Q674" s="14">
        <f t="shared" si="564"/>
        <v>1021082</v>
      </c>
      <c r="R674" s="14">
        <f t="shared" si="564"/>
        <v>84200</v>
      </c>
      <c r="S674" s="14">
        <f t="shared" si="564"/>
        <v>83950</v>
      </c>
      <c r="T674" s="14">
        <f t="shared" si="564"/>
        <v>83950</v>
      </c>
      <c r="U674" s="14">
        <f t="shared" si="564"/>
        <v>83950</v>
      </c>
      <c r="V674" s="14">
        <f t="shared" si="564"/>
        <v>83950</v>
      </c>
      <c r="W674" s="14">
        <f t="shared" si="564"/>
        <v>83950</v>
      </c>
      <c r="X674" s="14">
        <f t="shared" si="564"/>
        <v>83950</v>
      </c>
      <c r="Y674" s="14">
        <f t="shared" si="564"/>
        <v>83950</v>
      </c>
      <c r="Z674" s="14">
        <f t="shared" si="564"/>
        <v>83950</v>
      </c>
      <c r="AA674" s="14">
        <f t="shared" si="564"/>
        <v>83950</v>
      </c>
      <c r="AB674" s="14">
        <f t="shared" si="564"/>
        <v>108533.33</v>
      </c>
      <c r="AC674" s="14">
        <f t="shared" si="564"/>
        <v>108533.33</v>
      </c>
      <c r="AD674" s="14">
        <f>SUM(AD671:AD673)</f>
        <v>1056816.6599999999</v>
      </c>
      <c r="AE674" s="14">
        <f>SUM(AE671:AE673)</f>
        <v>108783.33</v>
      </c>
      <c r="AF674" s="14">
        <f>SUM(AF671:AF673)</f>
        <v>108533.33</v>
      </c>
      <c r="AG674" s="14">
        <f t="shared" ref="AG674:AP674" si="565">SUM(AG671:AG673)</f>
        <v>108533.33</v>
      </c>
      <c r="AH674" s="14">
        <f t="shared" si="565"/>
        <v>108533.33</v>
      </c>
      <c r="AI674" s="14">
        <f t="shared" si="565"/>
        <v>108533.33</v>
      </c>
      <c r="AJ674" s="14">
        <f t="shared" si="565"/>
        <v>108533.33</v>
      </c>
      <c r="AK674" s="14">
        <f t="shared" si="565"/>
        <v>108533.33</v>
      </c>
      <c r="AL674" s="14">
        <f t="shared" si="565"/>
        <v>108533.33</v>
      </c>
      <c r="AM674" s="14">
        <f t="shared" si="565"/>
        <v>108533.33</v>
      </c>
      <c r="AN674" s="14">
        <f t="shared" si="565"/>
        <v>108533.33</v>
      </c>
      <c r="AO674" s="14">
        <f t="shared" si="565"/>
        <v>108383.34</v>
      </c>
      <c r="AP674" s="14">
        <f t="shared" si="565"/>
        <v>108383.34</v>
      </c>
      <c r="AQ674" s="22">
        <f>SUM(AQ671:AQ673)</f>
        <v>1302349.98</v>
      </c>
      <c r="AR674" s="22">
        <f t="shared" ref="AR674:BD674" si="566">SUM(AR671:AR673)</f>
        <v>108633.34</v>
      </c>
      <c r="AS674" s="22">
        <f t="shared" si="566"/>
        <v>108383.34</v>
      </c>
      <c r="AT674" s="22">
        <f t="shared" si="566"/>
        <v>108383.34</v>
      </c>
      <c r="AU674" s="22">
        <f t="shared" si="566"/>
        <v>108383.34</v>
      </c>
      <c r="AV674" s="22">
        <f t="shared" si="566"/>
        <v>108383.34</v>
      </c>
      <c r="AW674" s="22">
        <f t="shared" si="566"/>
        <v>108383.34</v>
      </c>
      <c r="AX674" s="22">
        <f t="shared" si="566"/>
        <v>108383.34</v>
      </c>
      <c r="AY674" s="22">
        <f t="shared" si="566"/>
        <v>108383.34</v>
      </c>
      <c r="AZ674" s="22">
        <f t="shared" si="566"/>
        <v>108383.34</v>
      </c>
      <c r="BA674" s="22">
        <f t="shared" si="566"/>
        <v>108383.34</v>
      </c>
      <c r="BB674" s="22">
        <f t="shared" si="566"/>
        <v>108200</v>
      </c>
      <c r="BC674" s="22">
        <f t="shared" si="566"/>
        <v>108200</v>
      </c>
      <c r="BD674" s="22">
        <f t="shared" si="566"/>
        <v>1300483.3999999999</v>
      </c>
    </row>
    <row r="675" spans="1:56" x14ac:dyDescent="0.3">
      <c r="D675" s="15"/>
    </row>
    <row r="676" spans="1:56" ht="15.5" x14ac:dyDescent="0.35">
      <c r="B676" s="20">
        <f>+B670+1</f>
        <v>80</v>
      </c>
      <c r="C676" s="1" t="s">
        <v>14</v>
      </c>
      <c r="D676" s="25" t="s">
        <v>327</v>
      </c>
    </row>
    <row r="677" spans="1:56" x14ac:dyDescent="0.3">
      <c r="D677" s="8" t="s">
        <v>8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f>SUM(E677:P677)</f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f>SUM(R677:AC677)</f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</v>
      </c>
      <c r="AJ677" s="12">
        <v>0</v>
      </c>
      <c r="AK677" s="12">
        <v>0</v>
      </c>
      <c r="AL677" s="12">
        <v>0</v>
      </c>
      <c r="AM677" s="12">
        <v>0</v>
      </c>
      <c r="AN677" s="12">
        <v>0</v>
      </c>
      <c r="AO677" s="12">
        <v>0</v>
      </c>
      <c r="AP677" s="12">
        <v>0</v>
      </c>
      <c r="AQ677" s="3">
        <f>SUM(AE677:AP677)</f>
        <v>0</v>
      </c>
      <c r="AR677" s="3">
        <v>0</v>
      </c>
      <c r="AS677" s="3">
        <v>0</v>
      </c>
      <c r="AT677" s="3">
        <v>0</v>
      </c>
      <c r="AU677" s="3">
        <v>0</v>
      </c>
      <c r="AV677" s="3">
        <v>0</v>
      </c>
      <c r="AW677" s="3">
        <v>0</v>
      </c>
      <c r="AX677" s="3">
        <v>0</v>
      </c>
      <c r="AY677" s="3">
        <v>0</v>
      </c>
      <c r="AZ677" s="3">
        <v>0</v>
      </c>
      <c r="BA677" s="3">
        <v>0</v>
      </c>
      <c r="BB677" s="3">
        <v>0</v>
      </c>
      <c r="BC677" s="3">
        <v>0</v>
      </c>
      <c r="BD677" s="3">
        <f>SUM(AR677:BC677)</f>
        <v>0</v>
      </c>
    </row>
    <row r="678" spans="1:56" x14ac:dyDescent="0.3">
      <c r="D678" s="8" t="s">
        <v>9</v>
      </c>
      <c r="E678" s="11">
        <v>250</v>
      </c>
      <c r="Q678" s="12">
        <f>SUM(E678:P678)</f>
        <v>250</v>
      </c>
      <c r="R678" s="11">
        <v>250</v>
      </c>
      <c r="AD678" s="12">
        <f>SUM(R678:AC678)</f>
        <v>250</v>
      </c>
      <c r="AE678" s="11">
        <v>250</v>
      </c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3">
        <f>SUM(AE678:AP678)</f>
        <v>250</v>
      </c>
      <c r="AR678" s="3">
        <v>250</v>
      </c>
      <c r="AS678" s="3">
        <v>0</v>
      </c>
      <c r="AT678" s="3">
        <v>0</v>
      </c>
      <c r="AU678" s="3">
        <v>0</v>
      </c>
      <c r="AV678" s="3">
        <v>0</v>
      </c>
      <c r="AW678" s="3">
        <v>0</v>
      </c>
      <c r="AX678" s="3">
        <v>0</v>
      </c>
      <c r="AY678" s="3">
        <v>0</v>
      </c>
      <c r="AZ678" s="3">
        <v>0</v>
      </c>
      <c r="BA678" s="3">
        <v>0</v>
      </c>
      <c r="BB678" s="3">
        <v>0</v>
      </c>
      <c r="BC678" s="3">
        <v>0</v>
      </c>
      <c r="BD678" s="3">
        <f>SUM(AR678:BC678)</f>
        <v>250</v>
      </c>
    </row>
    <row r="679" spans="1:56" ht="13.5" thickBot="1" x14ac:dyDescent="0.35">
      <c r="A679" t="s">
        <v>328</v>
      </c>
      <c r="D679" s="8" t="s">
        <v>10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f>9583.34+52614.59</f>
        <v>62197.929999999993</v>
      </c>
      <c r="M679" s="12">
        <f>9583.34+52614.59</f>
        <v>62197.929999999993</v>
      </c>
      <c r="N679" s="12">
        <f>9583.34+52614.59</f>
        <v>62197.929999999993</v>
      </c>
      <c r="O679" s="12">
        <f>9583.34+52614.59</f>
        <v>62197.929999999993</v>
      </c>
      <c r="P679" s="12">
        <f>9583.34+52614.59</f>
        <v>62197.929999999993</v>
      </c>
      <c r="Q679" s="12">
        <f>SUM(E679:P679)</f>
        <v>310989.64999999997</v>
      </c>
      <c r="R679" s="12">
        <f t="shared" ref="R679:X679" si="567">9583.34+52614.59</f>
        <v>62197.929999999993</v>
      </c>
      <c r="S679" s="12">
        <f t="shared" si="567"/>
        <v>62197.929999999993</v>
      </c>
      <c r="T679" s="12">
        <f t="shared" si="567"/>
        <v>62197.929999999993</v>
      </c>
      <c r="U679" s="12">
        <f t="shared" si="567"/>
        <v>62197.929999999993</v>
      </c>
      <c r="V679" s="12">
        <f t="shared" si="567"/>
        <v>62197.929999999993</v>
      </c>
      <c r="W679" s="12">
        <f t="shared" si="567"/>
        <v>62197.929999999993</v>
      </c>
      <c r="X679" s="12">
        <f t="shared" si="567"/>
        <v>62197.929999999993</v>
      </c>
      <c r="Y679" s="12">
        <f>10000+52183.34</f>
        <v>62183.34</v>
      </c>
      <c r="Z679" s="12">
        <f>10000+52183.34</f>
        <v>62183.34</v>
      </c>
      <c r="AA679" s="12">
        <f>10000+52183.34</f>
        <v>62183.34</v>
      </c>
      <c r="AB679" s="12">
        <f>10000+52183.34</f>
        <v>62183.34</v>
      </c>
      <c r="AC679" s="12">
        <f>10000+52183.34</f>
        <v>62183.34</v>
      </c>
      <c r="AD679" s="12">
        <f>SUM(R679:AC679)</f>
        <v>746302.20999999985</v>
      </c>
      <c r="AE679" s="12">
        <f t="shared" ref="AE679:AK679" si="568">10000+52183.34</f>
        <v>62183.34</v>
      </c>
      <c r="AF679" s="12">
        <f t="shared" si="568"/>
        <v>62183.34</v>
      </c>
      <c r="AG679" s="12">
        <f t="shared" si="568"/>
        <v>62183.34</v>
      </c>
      <c r="AH679" s="12">
        <f t="shared" si="568"/>
        <v>62183.34</v>
      </c>
      <c r="AI679" s="12">
        <f t="shared" si="568"/>
        <v>62183.34</v>
      </c>
      <c r="AJ679" s="12">
        <f t="shared" si="568"/>
        <v>62183.34</v>
      </c>
      <c r="AK679" s="12">
        <f t="shared" si="568"/>
        <v>62183.34</v>
      </c>
      <c r="AL679" s="12">
        <f>10416.67+51733.34</f>
        <v>62150.009999999995</v>
      </c>
      <c r="AM679" s="12">
        <f>10416.67+51733.34</f>
        <v>62150.009999999995</v>
      </c>
      <c r="AN679" s="12">
        <f>10416.67+51733.34</f>
        <v>62150.009999999995</v>
      </c>
      <c r="AO679" s="12">
        <f>10416.67+51733.34</f>
        <v>62150.009999999995</v>
      </c>
      <c r="AP679" s="12">
        <f>10416.67+51733.34</f>
        <v>62150.009999999995</v>
      </c>
      <c r="AQ679" s="3">
        <f>SUM(AE679:AP679)</f>
        <v>746033.42999999993</v>
      </c>
      <c r="AR679" s="3">
        <f>10416.67+51733.34</f>
        <v>62150.009999999995</v>
      </c>
      <c r="AS679" s="3">
        <f t="shared" ref="AS679:AX679" si="569">10416.67+51733.34</f>
        <v>62150.009999999995</v>
      </c>
      <c r="AT679" s="3">
        <f t="shared" si="569"/>
        <v>62150.009999999995</v>
      </c>
      <c r="AU679" s="3">
        <f t="shared" si="569"/>
        <v>62150.009999999995</v>
      </c>
      <c r="AV679" s="3">
        <f t="shared" si="569"/>
        <v>62150.009999999995</v>
      </c>
      <c r="AW679" s="3">
        <f t="shared" si="569"/>
        <v>62150.009999999995</v>
      </c>
      <c r="AX679" s="3">
        <f t="shared" si="569"/>
        <v>62150.009999999995</v>
      </c>
      <c r="AY679" s="3">
        <f>10833.34+51264.59</f>
        <v>62097.929999999993</v>
      </c>
      <c r="AZ679" s="3">
        <f t="shared" ref="AZ679:BC679" si="570">10833.34+51264.59</f>
        <v>62097.929999999993</v>
      </c>
      <c r="BA679" s="3">
        <f t="shared" si="570"/>
        <v>62097.929999999993</v>
      </c>
      <c r="BB679" s="3">
        <f t="shared" si="570"/>
        <v>62097.929999999993</v>
      </c>
      <c r="BC679" s="3">
        <f t="shared" si="570"/>
        <v>62097.929999999993</v>
      </c>
      <c r="BD679" s="3">
        <f>SUM(AR679:BC679)</f>
        <v>745539.71999999974</v>
      </c>
    </row>
    <row r="680" spans="1:56" ht="13.5" thickBot="1" x14ac:dyDescent="0.35">
      <c r="D680" s="13" t="s">
        <v>329</v>
      </c>
      <c r="E680" s="14">
        <f t="shared" ref="E680:AC680" si="571">SUM(E677:E679)</f>
        <v>250</v>
      </c>
      <c r="F680" s="14">
        <f t="shared" si="571"/>
        <v>0</v>
      </c>
      <c r="G680" s="14">
        <f t="shared" si="571"/>
        <v>0</v>
      </c>
      <c r="H680" s="14">
        <f t="shared" si="571"/>
        <v>0</v>
      </c>
      <c r="I680" s="14">
        <f t="shared" si="571"/>
        <v>0</v>
      </c>
      <c r="J680" s="14">
        <f t="shared" si="571"/>
        <v>0</v>
      </c>
      <c r="K680" s="14">
        <f t="shared" si="571"/>
        <v>0</v>
      </c>
      <c r="L680" s="14">
        <f t="shared" si="571"/>
        <v>62197.929999999993</v>
      </c>
      <c r="M680" s="14">
        <f t="shared" si="571"/>
        <v>62197.929999999993</v>
      </c>
      <c r="N680" s="14">
        <f t="shared" si="571"/>
        <v>62197.929999999993</v>
      </c>
      <c r="O680" s="14">
        <f t="shared" si="571"/>
        <v>62197.929999999993</v>
      </c>
      <c r="P680" s="14">
        <f t="shared" si="571"/>
        <v>62197.929999999993</v>
      </c>
      <c r="Q680" s="14">
        <f t="shared" si="571"/>
        <v>311239.64999999997</v>
      </c>
      <c r="R680" s="14">
        <f t="shared" si="571"/>
        <v>62447.929999999993</v>
      </c>
      <c r="S680" s="14">
        <f t="shared" si="571"/>
        <v>62197.929999999993</v>
      </c>
      <c r="T680" s="14">
        <f t="shared" si="571"/>
        <v>62197.929999999993</v>
      </c>
      <c r="U680" s="14">
        <f t="shared" si="571"/>
        <v>62197.929999999993</v>
      </c>
      <c r="V680" s="14">
        <f t="shared" si="571"/>
        <v>62197.929999999993</v>
      </c>
      <c r="W680" s="14">
        <f t="shared" si="571"/>
        <v>62197.929999999993</v>
      </c>
      <c r="X680" s="14">
        <f t="shared" si="571"/>
        <v>62197.929999999993</v>
      </c>
      <c r="Y680" s="14">
        <f t="shared" si="571"/>
        <v>62183.34</v>
      </c>
      <c r="Z680" s="14">
        <f t="shared" si="571"/>
        <v>62183.34</v>
      </c>
      <c r="AA680" s="14">
        <f t="shared" si="571"/>
        <v>62183.34</v>
      </c>
      <c r="AB680" s="14">
        <f t="shared" si="571"/>
        <v>62183.34</v>
      </c>
      <c r="AC680" s="14">
        <f t="shared" si="571"/>
        <v>62183.34</v>
      </c>
      <c r="AD680" s="14">
        <f>SUM(AD677:AD679)</f>
        <v>746552.20999999985</v>
      </c>
      <c r="AE680" s="14">
        <f>SUM(AE677:AE679)</f>
        <v>62433.34</v>
      </c>
      <c r="AF680" s="14">
        <f>SUM(AF677:AF679)</f>
        <v>62183.34</v>
      </c>
      <c r="AG680" s="14">
        <f t="shared" ref="AG680:AP680" si="572">SUM(AG677:AG679)</f>
        <v>62183.34</v>
      </c>
      <c r="AH680" s="14">
        <f t="shared" si="572"/>
        <v>62183.34</v>
      </c>
      <c r="AI680" s="14">
        <f t="shared" si="572"/>
        <v>62183.34</v>
      </c>
      <c r="AJ680" s="14">
        <f t="shared" si="572"/>
        <v>62183.34</v>
      </c>
      <c r="AK680" s="14">
        <f t="shared" si="572"/>
        <v>62183.34</v>
      </c>
      <c r="AL680" s="14">
        <f t="shared" si="572"/>
        <v>62150.009999999995</v>
      </c>
      <c r="AM680" s="14">
        <f t="shared" si="572"/>
        <v>62150.009999999995</v>
      </c>
      <c r="AN680" s="14">
        <f t="shared" si="572"/>
        <v>62150.009999999995</v>
      </c>
      <c r="AO680" s="14">
        <f t="shared" si="572"/>
        <v>62150.009999999995</v>
      </c>
      <c r="AP680" s="14">
        <f t="shared" si="572"/>
        <v>62150.009999999995</v>
      </c>
      <c r="AQ680" s="22">
        <f>SUM(AQ677:AQ679)</f>
        <v>746283.42999999993</v>
      </c>
      <c r="AR680" s="22">
        <f t="shared" ref="AR680:BD680" si="573">SUM(AR677:AR679)</f>
        <v>62400.009999999995</v>
      </c>
      <c r="AS680" s="22">
        <f t="shared" si="573"/>
        <v>62150.009999999995</v>
      </c>
      <c r="AT680" s="22">
        <f t="shared" si="573"/>
        <v>62150.009999999995</v>
      </c>
      <c r="AU680" s="22">
        <f t="shared" si="573"/>
        <v>62150.009999999995</v>
      </c>
      <c r="AV680" s="22">
        <f t="shared" si="573"/>
        <v>62150.009999999995</v>
      </c>
      <c r="AW680" s="22">
        <f t="shared" si="573"/>
        <v>62150.009999999995</v>
      </c>
      <c r="AX680" s="22">
        <f t="shared" si="573"/>
        <v>62150.009999999995</v>
      </c>
      <c r="AY680" s="22">
        <f t="shared" si="573"/>
        <v>62097.929999999993</v>
      </c>
      <c r="AZ680" s="22">
        <f t="shared" si="573"/>
        <v>62097.929999999993</v>
      </c>
      <c r="BA680" s="22">
        <f t="shared" si="573"/>
        <v>62097.929999999993</v>
      </c>
      <c r="BB680" s="22">
        <f t="shared" si="573"/>
        <v>62097.929999999993</v>
      </c>
      <c r="BC680" s="22">
        <f t="shared" si="573"/>
        <v>62097.929999999993</v>
      </c>
      <c r="BD680" s="22">
        <f t="shared" si="573"/>
        <v>745789.71999999974</v>
      </c>
    </row>
    <row r="681" spans="1:56" x14ac:dyDescent="0.3">
      <c r="D681" s="15"/>
    </row>
    <row r="682" spans="1:56" ht="15.5" x14ac:dyDescent="0.35">
      <c r="B682" s="20">
        <f>+B676+1</f>
        <v>81</v>
      </c>
      <c r="C682" s="1" t="s">
        <v>14</v>
      </c>
      <c r="D682" s="25" t="s">
        <v>330</v>
      </c>
    </row>
    <row r="683" spans="1:56" x14ac:dyDescent="0.3">
      <c r="D683" s="8" t="s">
        <v>8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f>SUM(E683:P683)</f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f>SUM(R683:AC683)</f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12">
        <v>0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2">
        <v>0</v>
      </c>
      <c r="AQ683" s="3">
        <f>SUM(AE683:AP683)</f>
        <v>0</v>
      </c>
      <c r="AR683" s="3">
        <v>0</v>
      </c>
      <c r="AS683" s="3">
        <v>0</v>
      </c>
      <c r="AT683" s="3">
        <v>0</v>
      </c>
      <c r="AU683" s="3">
        <v>0</v>
      </c>
      <c r="AV683" s="3">
        <v>0</v>
      </c>
      <c r="AW683" s="3">
        <v>0</v>
      </c>
      <c r="AX683" s="3">
        <v>0</v>
      </c>
      <c r="AY683" s="3">
        <v>0</v>
      </c>
      <c r="AZ683" s="3">
        <v>0</v>
      </c>
      <c r="BA683" s="3">
        <v>0</v>
      </c>
      <c r="BB683" s="3">
        <v>0</v>
      </c>
      <c r="BC683" s="3">
        <v>0</v>
      </c>
      <c r="BD683" s="3">
        <f>SUM(AR683:BC683)</f>
        <v>0</v>
      </c>
    </row>
    <row r="684" spans="1:56" x14ac:dyDescent="0.3">
      <c r="D684" s="8" t="s">
        <v>9</v>
      </c>
      <c r="E684" s="11">
        <v>250</v>
      </c>
      <c r="Q684" s="12">
        <f>SUM(E684:P684)</f>
        <v>250</v>
      </c>
      <c r="R684" s="11">
        <v>250</v>
      </c>
      <c r="AD684" s="12">
        <f>SUM(R684:AC684)</f>
        <v>250</v>
      </c>
      <c r="AE684" s="11">
        <v>250</v>
      </c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3">
        <f>SUM(AE684:AP684)</f>
        <v>250</v>
      </c>
      <c r="AR684" s="3">
        <v>250</v>
      </c>
      <c r="AS684" s="3">
        <v>0</v>
      </c>
      <c r="AT684" s="3">
        <v>0</v>
      </c>
      <c r="AU684" s="3">
        <v>0</v>
      </c>
      <c r="AV684" s="3">
        <v>0</v>
      </c>
      <c r="AW684" s="3">
        <v>0</v>
      </c>
      <c r="AX684" s="3">
        <v>0</v>
      </c>
      <c r="AY684" s="3">
        <v>0</v>
      </c>
      <c r="AZ684" s="3">
        <v>0</v>
      </c>
      <c r="BA684" s="3">
        <v>0</v>
      </c>
      <c r="BB684" s="3">
        <v>0</v>
      </c>
      <c r="BC684" s="3">
        <v>0</v>
      </c>
      <c r="BD684" s="3">
        <f>SUM(AR684:BC684)</f>
        <v>250</v>
      </c>
    </row>
    <row r="685" spans="1:56" ht="13.5" thickBot="1" x14ac:dyDescent="0.35">
      <c r="A685" t="s">
        <v>331</v>
      </c>
      <c r="D685" s="8" t="s">
        <v>10</v>
      </c>
      <c r="E685" s="12">
        <v>184641.13</v>
      </c>
      <c r="F685" s="12">
        <v>184641.13</v>
      </c>
      <c r="G685" s="12">
        <v>184641.13</v>
      </c>
      <c r="H685" s="12">
        <v>184641.13</v>
      </c>
      <c r="I685" s="12">
        <v>101677.11</v>
      </c>
      <c r="J685" s="12">
        <v>101677.11</v>
      </c>
      <c r="K685" s="12">
        <v>101677.11</v>
      </c>
      <c r="L685" s="12">
        <v>101677.11</v>
      </c>
      <c r="M685" s="12">
        <v>101677.11</v>
      </c>
      <c r="N685" s="12">
        <v>101677.11</v>
      </c>
      <c r="O685" s="12">
        <v>101677.11</v>
      </c>
      <c r="P685" s="12">
        <v>101677.11</v>
      </c>
      <c r="Q685" s="12">
        <f>SUM(E685:P685)</f>
        <v>1551981.4000000004</v>
      </c>
      <c r="R685" s="12">
        <v>101677.11</v>
      </c>
      <c r="S685" s="12">
        <v>101677.11</v>
      </c>
      <c r="T685" s="12">
        <v>101677.11</v>
      </c>
      <c r="U685" s="12">
        <v>101677.11</v>
      </c>
      <c r="V685" s="12">
        <v>101677.11</v>
      </c>
      <c r="W685" s="12">
        <v>101677.11</v>
      </c>
      <c r="X685" s="12">
        <v>101677.11</v>
      </c>
      <c r="Y685" s="12">
        <v>101677.11</v>
      </c>
      <c r="Z685" s="12">
        <v>101677.11</v>
      </c>
      <c r="AA685" s="12">
        <v>101677.11</v>
      </c>
      <c r="AB685" s="12">
        <v>101677.11</v>
      </c>
      <c r="AC685" s="12">
        <v>101677.11</v>
      </c>
      <c r="AD685" s="12">
        <f>SUM(R685:AC685)</f>
        <v>1220125.32</v>
      </c>
      <c r="AE685" s="12">
        <v>101677.11</v>
      </c>
      <c r="AF685" s="12">
        <v>101677.11</v>
      </c>
      <c r="AG685" s="12">
        <v>101677.11</v>
      </c>
      <c r="AH685" s="12">
        <v>101677.11</v>
      </c>
      <c r="AI685" s="12">
        <v>101677.11</v>
      </c>
      <c r="AJ685" s="12">
        <v>101677.11</v>
      </c>
      <c r="AK685" s="12">
        <v>101677.11</v>
      </c>
      <c r="AL685" s="12">
        <v>101677.11</v>
      </c>
      <c r="AM685" s="12">
        <v>101677.11</v>
      </c>
      <c r="AN685" s="12">
        <v>101677.11</v>
      </c>
      <c r="AO685" s="12">
        <v>101677.11</v>
      </c>
      <c r="AP685" s="12">
        <v>101677.11</v>
      </c>
      <c r="AQ685" s="3">
        <f>SUM(AE685:AP685)</f>
        <v>1220125.32</v>
      </c>
      <c r="AR685" s="3">
        <v>101677.11</v>
      </c>
      <c r="AS685" s="3">
        <v>101677.11</v>
      </c>
      <c r="AT685" s="3">
        <v>101677.11</v>
      </c>
      <c r="AU685" s="3">
        <v>101677.11</v>
      </c>
      <c r="AV685" s="3">
        <v>101677.11</v>
      </c>
      <c r="AW685" s="3">
        <v>101677.11</v>
      </c>
      <c r="AX685" s="3">
        <v>101677.11</v>
      </c>
      <c r="AY685" s="3">
        <v>101677.11</v>
      </c>
      <c r="AZ685" s="3">
        <v>101677.11</v>
      </c>
      <c r="BA685" s="3">
        <v>101677.11</v>
      </c>
      <c r="BB685" s="3">
        <v>101677.11</v>
      </c>
      <c r="BC685" s="3">
        <v>101677.11</v>
      </c>
      <c r="BD685" s="3">
        <f>SUM(AR685:BC685)</f>
        <v>1220125.32</v>
      </c>
    </row>
    <row r="686" spans="1:56" ht="13.5" thickBot="1" x14ac:dyDescent="0.35">
      <c r="D686" s="13" t="s">
        <v>332</v>
      </c>
      <c r="E686" s="14">
        <f t="shared" ref="E686:AC686" si="574">SUM(E683:E685)</f>
        <v>184891.13</v>
      </c>
      <c r="F686" s="14">
        <f t="shared" si="574"/>
        <v>184641.13</v>
      </c>
      <c r="G686" s="14">
        <f t="shared" si="574"/>
        <v>184641.13</v>
      </c>
      <c r="H686" s="14">
        <f t="shared" si="574"/>
        <v>184641.13</v>
      </c>
      <c r="I686" s="14">
        <f t="shared" si="574"/>
        <v>101677.11</v>
      </c>
      <c r="J686" s="14">
        <f t="shared" si="574"/>
        <v>101677.11</v>
      </c>
      <c r="K686" s="14">
        <f t="shared" si="574"/>
        <v>101677.11</v>
      </c>
      <c r="L686" s="14">
        <f t="shared" si="574"/>
        <v>101677.11</v>
      </c>
      <c r="M686" s="14">
        <f t="shared" si="574"/>
        <v>101677.11</v>
      </c>
      <c r="N686" s="14">
        <f t="shared" si="574"/>
        <v>101677.11</v>
      </c>
      <c r="O686" s="14">
        <f t="shared" si="574"/>
        <v>101677.11</v>
      </c>
      <c r="P686" s="14">
        <f t="shared" si="574"/>
        <v>101677.11</v>
      </c>
      <c r="Q686" s="14">
        <f t="shared" si="574"/>
        <v>1552231.4000000004</v>
      </c>
      <c r="R686" s="14">
        <f t="shared" si="574"/>
        <v>101927.11</v>
      </c>
      <c r="S686" s="14">
        <f t="shared" si="574"/>
        <v>101677.11</v>
      </c>
      <c r="T686" s="14">
        <f t="shared" si="574"/>
        <v>101677.11</v>
      </c>
      <c r="U686" s="14">
        <f t="shared" si="574"/>
        <v>101677.11</v>
      </c>
      <c r="V686" s="14">
        <f t="shared" si="574"/>
        <v>101677.11</v>
      </c>
      <c r="W686" s="14">
        <f t="shared" si="574"/>
        <v>101677.11</v>
      </c>
      <c r="X686" s="14">
        <f t="shared" si="574"/>
        <v>101677.11</v>
      </c>
      <c r="Y686" s="14">
        <f t="shared" si="574"/>
        <v>101677.11</v>
      </c>
      <c r="Z686" s="14">
        <f t="shared" si="574"/>
        <v>101677.11</v>
      </c>
      <c r="AA686" s="14">
        <f t="shared" si="574"/>
        <v>101677.11</v>
      </c>
      <c r="AB686" s="14">
        <f t="shared" si="574"/>
        <v>101677.11</v>
      </c>
      <c r="AC686" s="14">
        <f t="shared" si="574"/>
        <v>101677.11</v>
      </c>
      <c r="AD686" s="14">
        <f>SUM(AD683:AD685)</f>
        <v>1220375.32</v>
      </c>
      <c r="AE686" s="14">
        <f>SUM(AE683:AE685)</f>
        <v>101927.11</v>
      </c>
      <c r="AF686" s="14">
        <f>SUM(AF683:AF685)</f>
        <v>101677.11</v>
      </c>
      <c r="AG686" s="14">
        <f t="shared" ref="AG686:AP686" si="575">SUM(AG683:AG685)</f>
        <v>101677.11</v>
      </c>
      <c r="AH686" s="14">
        <f t="shared" si="575"/>
        <v>101677.11</v>
      </c>
      <c r="AI686" s="14">
        <f t="shared" si="575"/>
        <v>101677.11</v>
      </c>
      <c r="AJ686" s="14">
        <f t="shared" si="575"/>
        <v>101677.11</v>
      </c>
      <c r="AK686" s="14">
        <f t="shared" si="575"/>
        <v>101677.11</v>
      </c>
      <c r="AL686" s="14">
        <f t="shared" si="575"/>
        <v>101677.11</v>
      </c>
      <c r="AM686" s="14">
        <f t="shared" si="575"/>
        <v>101677.11</v>
      </c>
      <c r="AN686" s="14">
        <f t="shared" si="575"/>
        <v>101677.11</v>
      </c>
      <c r="AO686" s="14">
        <f t="shared" si="575"/>
        <v>101677.11</v>
      </c>
      <c r="AP686" s="14">
        <f t="shared" si="575"/>
        <v>101677.11</v>
      </c>
      <c r="AQ686" s="22">
        <f>SUM(AQ683:AQ685)</f>
        <v>1220375.32</v>
      </c>
      <c r="AR686" s="22">
        <f t="shared" ref="AR686:BD686" si="576">SUM(AR683:AR685)</f>
        <v>101927.11</v>
      </c>
      <c r="AS686" s="22">
        <f t="shared" si="576"/>
        <v>101677.11</v>
      </c>
      <c r="AT686" s="22">
        <f t="shared" si="576"/>
        <v>101677.11</v>
      </c>
      <c r="AU686" s="22">
        <f t="shared" si="576"/>
        <v>101677.11</v>
      </c>
      <c r="AV686" s="22">
        <f t="shared" si="576"/>
        <v>101677.11</v>
      </c>
      <c r="AW686" s="22">
        <f t="shared" si="576"/>
        <v>101677.11</v>
      </c>
      <c r="AX686" s="22">
        <f t="shared" si="576"/>
        <v>101677.11</v>
      </c>
      <c r="AY686" s="22">
        <f t="shared" si="576"/>
        <v>101677.11</v>
      </c>
      <c r="AZ686" s="22">
        <f t="shared" si="576"/>
        <v>101677.11</v>
      </c>
      <c r="BA686" s="22">
        <f t="shared" si="576"/>
        <v>101677.11</v>
      </c>
      <c r="BB686" s="22">
        <f t="shared" si="576"/>
        <v>101677.11</v>
      </c>
      <c r="BC686" s="22">
        <f t="shared" si="576"/>
        <v>101677.11</v>
      </c>
      <c r="BD686" s="22">
        <f t="shared" si="576"/>
        <v>1220375.32</v>
      </c>
    </row>
    <row r="687" spans="1:56" x14ac:dyDescent="0.3">
      <c r="D687" s="15"/>
    </row>
    <row r="688" spans="1:56" ht="15.5" x14ac:dyDescent="0.35">
      <c r="B688" s="20">
        <f>+B682+1</f>
        <v>82</v>
      </c>
      <c r="C688" s="1" t="s">
        <v>14</v>
      </c>
      <c r="D688" s="25" t="s">
        <v>333</v>
      </c>
    </row>
    <row r="689" spans="1:56" x14ac:dyDescent="0.3">
      <c r="D689" s="8" t="s">
        <v>8</v>
      </c>
      <c r="E689" s="12">
        <v>0</v>
      </c>
      <c r="F689" s="12">
        <v>1793</v>
      </c>
      <c r="G689" s="12">
        <v>1793</v>
      </c>
      <c r="H689" s="12">
        <v>1793</v>
      </c>
      <c r="I689" s="12">
        <v>1793</v>
      </c>
      <c r="J689" s="12">
        <v>1793</v>
      </c>
      <c r="K689" s="12">
        <v>1793</v>
      </c>
      <c r="L689" s="12">
        <v>1793</v>
      </c>
      <c r="M689" s="12">
        <v>1793</v>
      </c>
      <c r="N689" s="12">
        <v>1793</v>
      </c>
      <c r="O689" s="12">
        <v>1793</v>
      </c>
      <c r="P689" s="12">
        <v>1494.17</v>
      </c>
      <c r="Q689" s="12">
        <f>SUM(E689:P689)</f>
        <v>19424.169999999998</v>
      </c>
      <c r="R689" s="12">
        <v>1494.17</v>
      </c>
      <c r="S689" s="12">
        <v>1494.17</v>
      </c>
      <c r="T689" s="12">
        <v>1494.17</v>
      </c>
      <c r="U689" s="12">
        <v>1494.17</v>
      </c>
      <c r="V689" s="12">
        <v>1494.17</v>
      </c>
      <c r="W689" s="12">
        <v>1494.17</v>
      </c>
      <c r="X689" s="12">
        <v>1494.17</v>
      </c>
      <c r="Y689" s="12">
        <v>1494.17</v>
      </c>
      <c r="Z689" s="12">
        <v>1494.17</v>
      </c>
      <c r="AA689" s="12">
        <v>1494.17</v>
      </c>
      <c r="AB689" s="12">
        <v>1494.17</v>
      </c>
      <c r="AC689" s="12">
        <v>1485.83</v>
      </c>
      <c r="AD689" s="12">
        <f>SUM(R689:AC689)</f>
        <v>17921.700000000004</v>
      </c>
      <c r="AE689" s="12">
        <v>1485.83</v>
      </c>
      <c r="AF689" s="12">
        <v>1485.83</v>
      </c>
      <c r="AG689" s="12">
        <v>1485.83</v>
      </c>
      <c r="AH689" s="12">
        <v>1485.83</v>
      </c>
      <c r="AI689" s="12">
        <v>1485.83</v>
      </c>
      <c r="AJ689" s="12">
        <v>1485.83</v>
      </c>
      <c r="AK689" s="12">
        <v>1485.83</v>
      </c>
      <c r="AL689" s="12">
        <v>1485.83</v>
      </c>
      <c r="AM689" s="12">
        <v>1485.83</v>
      </c>
      <c r="AN689" s="12">
        <v>1485.83</v>
      </c>
      <c r="AO689" s="12">
        <v>1485.83</v>
      </c>
      <c r="AP689" s="12">
        <v>1455.42</v>
      </c>
      <c r="AQ689" s="3">
        <f>SUM(AE689:AP689)</f>
        <v>17799.55</v>
      </c>
      <c r="AR689" s="3">
        <v>1455.42</v>
      </c>
      <c r="AS689" s="3">
        <v>1455.42</v>
      </c>
      <c r="AT689" s="3">
        <v>1455.42</v>
      </c>
      <c r="AU689" s="3">
        <v>1455.42</v>
      </c>
      <c r="AV689" s="3">
        <v>1455.42</v>
      </c>
      <c r="AW689" s="3">
        <v>1455.42</v>
      </c>
      <c r="AX689" s="3">
        <v>1455.42</v>
      </c>
      <c r="AY689" s="3">
        <v>1455.42</v>
      </c>
      <c r="AZ689" s="3">
        <v>1455.42</v>
      </c>
      <c r="BA689" s="3">
        <v>1455.42</v>
      </c>
      <c r="BB689" s="3">
        <v>1455.42</v>
      </c>
      <c r="BC689" s="3">
        <v>1423.75</v>
      </c>
      <c r="BD689" s="3">
        <f>SUM(AR689:BC689)</f>
        <v>17433.370000000003</v>
      </c>
    </row>
    <row r="690" spans="1:56" x14ac:dyDescent="0.3">
      <c r="D690" s="8" t="s">
        <v>9</v>
      </c>
      <c r="E690" s="11">
        <v>250</v>
      </c>
      <c r="Q690" s="12">
        <f>SUM(E690:P690)</f>
        <v>250</v>
      </c>
      <c r="R690" s="11">
        <v>250</v>
      </c>
      <c r="AD690" s="12">
        <f>SUM(R690:AC690)</f>
        <v>250</v>
      </c>
      <c r="AE690" s="11">
        <v>250</v>
      </c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3">
        <f>SUM(AE690:AP690)</f>
        <v>250</v>
      </c>
      <c r="AR690" s="3">
        <v>250</v>
      </c>
      <c r="AS690" s="3">
        <v>0</v>
      </c>
      <c r="AT690" s="3">
        <v>0</v>
      </c>
      <c r="AU690" s="3">
        <v>0</v>
      </c>
      <c r="AV690" s="3">
        <v>0</v>
      </c>
      <c r="AW690" s="3">
        <v>0</v>
      </c>
      <c r="AX690" s="3">
        <v>0</v>
      </c>
      <c r="AY690" s="3">
        <v>0</v>
      </c>
      <c r="AZ690" s="3">
        <v>0</v>
      </c>
      <c r="BA690" s="3">
        <v>0</v>
      </c>
      <c r="BB690" s="3">
        <v>0</v>
      </c>
      <c r="BC690" s="3">
        <v>0</v>
      </c>
      <c r="BD690" s="3">
        <f>SUM(AR690:BC690)</f>
        <v>250</v>
      </c>
    </row>
    <row r="691" spans="1:56" ht="13.5" thickBot="1" x14ac:dyDescent="0.35">
      <c r="A691" t="s">
        <v>334</v>
      </c>
      <c r="D691" s="8" t="s">
        <v>10</v>
      </c>
      <c r="E691" s="12">
        <v>0</v>
      </c>
      <c r="F691" s="12">
        <v>68756.95</v>
      </c>
      <c r="G691" s="12">
        <v>68756.95</v>
      </c>
      <c r="H691" s="12">
        <v>68756.95</v>
      </c>
      <c r="I691" s="12">
        <v>68756.95</v>
      </c>
      <c r="J691" s="12">
        <v>68756.95</v>
      </c>
      <c r="K691" s="12">
        <v>68756.95</v>
      </c>
      <c r="L691" s="12">
        <f>8333.33+48125</f>
        <v>56458.33</v>
      </c>
      <c r="M691" s="12">
        <f>8333.33+48125</f>
        <v>56458.33</v>
      </c>
      <c r="N691" s="12">
        <f>8333.33+48125</f>
        <v>56458.33</v>
      </c>
      <c r="O691" s="12">
        <f>8333.33+48125</f>
        <v>56458.33</v>
      </c>
      <c r="P691" s="12">
        <f>8333.33+48125</f>
        <v>56458.33</v>
      </c>
      <c r="Q691" s="12">
        <f>SUM(E691:P691)</f>
        <v>694833.34999999986</v>
      </c>
      <c r="R691" s="12">
        <f>8333.33+48125</f>
        <v>56458.33</v>
      </c>
      <c r="S691" s="12">
        <f>30416.67+47791.67</f>
        <v>78208.34</v>
      </c>
      <c r="T691" s="12">
        <f t="shared" ref="T691:AE691" si="577">30416.67+47791.67</f>
        <v>78208.34</v>
      </c>
      <c r="U691" s="12">
        <f t="shared" si="577"/>
        <v>78208.34</v>
      </c>
      <c r="V691" s="12">
        <f t="shared" si="577"/>
        <v>78208.34</v>
      </c>
      <c r="W691" s="12">
        <f t="shared" si="577"/>
        <v>78208.34</v>
      </c>
      <c r="X691" s="12">
        <f t="shared" si="577"/>
        <v>78208.34</v>
      </c>
      <c r="Y691" s="12">
        <f t="shared" si="577"/>
        <v>78208.34</v>
      </c>
      <c r="Z691" s="12">
        <f t="shared" si="577"/>
        <v>78208.34</v>
      </c>
      <c r="AA691" s="12">
        <f t="shared" si="577"/>
        <v>78208.34</v>
      </c>
      <c r="AB691" s="12">
        <f t="shared" si="577"/>
        <v>78208.34</v>
      </c>
      <c r="AC691" s="12">
        <f t="shared" si="577"/>
        <v>78208.34</v>
      </c>
      <c r="AD691" s="12">
        <f>SUM(R691:AC691)</f>
        <v>916750.06999999972</v>
      </c>
      <c r="AE691" s="12">
        <f t="shared" si="577"/>
        <v>78208.34</v>
      </c>
      <c r="AF691" s="12">
        <f>31666.67+46575</f>
        <v>78241.67</v>
      </c>
      <c r="AG691" s="12">
        <f t="shared" ref="AG691:AP691" si="578">31666.67+46575</f>
        <v>78241.67</v>
      </c>
      <c r="AH691" s="12">
        <f t="shared" si="578"/>
        <v>78241.67</v>
      </c>
      <c r="AI691" s="12">
        <f t="shared" si="578"/>
        <v>78241.67</v>
      </c>
      <c r="AJ691" s="12">
        <f t="shared" si="578"/>
        <v>78241.67</v>
      </c>
      <c r="AK691" s="12">
        <f t="shared" si="578"/>
        <v>78241.67</v>
      </c>
      <c r="AL691" s="12">
        <f t="shared" si="578"/>
        <v>78241.67</v>
      </c>
      <c r="AM691" s="12">
        <f t="shared" si="578"/>
        <v>78241.67</v>
      </c>
      <c r="AN691" s="12">
        <f t="shared" si="578"/>
        <v>78241.67</v>
      </c>
      <c r="AO691" s="12">
        <f t="shared" si="578"/>
        <v>78241.67</v>
      </c>
      <c r="AP691" s="12">
        <f t="shared" si="578"/>
        <v>78241.67</v>
      </c>
      <c r="AQ691" s="3">
        <f>SUM(AE691:AP691)</f>
        <v>938866.7100000002</v>
      </c>
      <c r="AR691" s="3">
        <f>31666.67+46575</f>
        <v>78241.67</v>
      </c>
      <c r="AS691" s="3">
        <f>32916.67+45308.33</f>
        <v>78225</v>
      </c>
      <c r="AT691" s="3">
        <f t="shared" ref="AT691:BC691" si="579">32916.67+45308.33</f>
        <v>78225</v>
      </c>
      <c r="AU691" s="3">
        <f t="shared" si="579"/>
        <v>78225</v>
      </c>
      <c r="AV691" s="3">
        <f t="shared" si="579"/>
        <v>78225</v>
      </c>
      <c r="AW691" s="3">
        <f t="shared" si="579"/>
        <v>78225</v>
      </c>
      <c r="AX691" s="3">
        <f t="shared" si="579"/>
        <v>78225</v>
      </c>
      <c r="AY691" s="3">
        <f t="shared" si="579"/>
        <v>78225</v>
      </c>
      <c r="AZ691" s="3">
        <f t="shared" si="579"/>
        <v>78225</v>
      </c>
      <c r="BA691" s="3">
        <f t="shared" si="579"/>
        <v>78225</v>
      </c>
      <c r="BB691" s="3">
        <f t="shared" si="579"/>
        <v>78225</v>
      </c>
      <c r="BC691" s="3">
        <f t="shared" si="579"/>
        <v>78225</v>
      </c>
      <c r="BD691" s="3">
        <f>SUM(AR691:BC691)</f>
        <v>938716.66999999993</v>
      </c>
    </row>
    <row r="692" spans="1:56" ht="13.5" thickBot="1" x14ac:dyDescent="0.35">
      <c r="D692" s="13" t="s">
        <v>335</v>
      </c>
      <c r="E692" s="14">
        <f t="shared" ref="E692:AC692" si="580">SUM(E689:E691)</f>
        <v>250</v>
      </c>
      <c r="F692" s="14">
        <f t="shared" si="580"/>
        <v>70549.95</v>
      </c>
      <c r="G692" s="14">
        <f t="shared" si="580"/>
        <v>70549.95</v>
      </c>
      <c r="H692" s="14">
        <f t="shared" si="580"/>
        <v>70549.95</v>
      </c>
      <c r="I692" s="14">
        <f t="shared" si="580"/>
        <v>70549.95</v>
      </c>
      <c r="J692" s="14">
        <f t="shared" si="580"/>
        <v>70549.95</v>
      </c>
      <c r="K692" s="14">
        <f t="shared" si="580"/>
        <v>70549.95</v>
      </c>
      <c r="L692" s="14">
        <f t="shared" si="580"/>
        <v>58251.33</v>
      </c>
      <c r="M692" s="14">
        <f t="shared" si="580"/>
        <v>58251.33</v>
      </c>
      <c r="N692" s="14">
        <f t="shared" si="580"/>
        <v>58251.33</v>
      </c>
      <c r="O692" s="14">
        <f t="shared" si="580"/>
        <v>58251.33</v>
      </c>
      <c r="P692" s="14">
        <f t="shared" si="580"/>
        <v>57952.5</v>
      </c>
      <c r="Q692" s="14">
        <f t="shared" si="580"/>
        <v>714507.5199999999</v>
      </c>
      <c r="R692" s="14">
        <f t="shared" si="580"/>
        <v>58202.5</v>
      </c>
      <c r="S692" s="14">
        <f t="shared" si="580"/>
        <v>79702.509999999995</v>
      </c>
      <c r="T692" s="14">
        <f t="shared" si="580"/>
        <v>79702.509999999995</v>
      </c>
      <c r="U692" s="14">
        <f t="shared" si="580"/>
        <v>79702.509999999995</v>
      </c>
      <c r="V692" s="14">
        <f t="shared" si="580"/>
        <v>79702.509999999995</v>
      </c>
      <c r="W692" s="14">
        <f t="shared" si="580"/>
        <v>79702.509999999995</v>
      </c>
      <c r="X692" s="14">
        <f t="shared" si="580"/>
        <v>79702.509999999995</v>
      </c>
      <c r="Y692" s="14">
        <f t="shared" si="580"/>
        <v>79702.509999999995</v>
      </c>
      <c r="Z692" s="14">
        <f t="shared" si="580"/>
        <v>79702.509999999995</v>
      </c>
      <c r="AA692" s="14">
        <f t="shared" si="580"/>
        <v>79702.509999999995</v>
      </c>
      <c r="AB692" s="14">
        <f t="shared" si="580"/>
        <v>79702.509999999995</v>
      </c>
      <c r="AC692" s="14">
        <f t="shared" si="580"/>
        <v>79694.17</v>
      </c>
      <c r="AD692" s="14">
        <f>SUM(AD689:AD691)</f>
        <v>934921.76999999967</v>
      </c>
      <c r="AE692" s="14">
        <f>SUM(AE689:AE691)</f>
        <v>79944.17</v>
      </c>
      <c r="AF692" s="14">
        <f>SUM(AF689:AF691)</f>
        <v>79727.5</v>
      </c>
      <c r="AG692" s="14">
        <f t="shared" ref="AG692:AP692" si="581">SUM(AG689:AG691)</f>
        <v>79727.5</v>
      </c>
      <c r="AH692" s="14">
        <f t="shared" si="581"/>
        <v>79727.5</v>
      </c>
      <c r="AI692" s="14">
        <f t="shared" si="581"/>
        <v>79727.5</v>
      </c>
      <c r="AJ692" s="14">
        <f t="shared" si="581"/>
        <v>79727.5</v>
      </c>
      <c r="AK692" s="14">
        <f t="shared" si="581"/>
        <v>79727.5</v>
      </c>
      <c r="AL692" s="14">
        <f t="shared" si="581"/>
        <v>79727.5</v>
      </c>
      <c r="AM692" s="14">
        <f t="shared" si="581"/>
        <v>79727.5</v>
      </c>
      <c r="AN692" s="14">
        <f t="shared" si="581"/>
        <v>79727.5</v>
      </c>
      <c r="AO692" s="14">
        <f t="shared" si="581"/>
        <v>79727.5</v>
      </c>
      <c r="AP692" s="14">
        <f t="shared" si="581"/>
        <v>79697.09</v>
      </c>
      <c r="AQ692" s="22">
        <f>SUM(AQ689:AQ691)</f>
        <v>956916.26000000024</v>
      </c>
      <c r="AR692" s="22">
        <f t="shared" ref="AR692:BD692" si="582">SUM(AR689:AR691)</f>
        <v>79947.09</v>
      </c>
      <c r="AS692" s="22">
        <f t="shared" si="582"/>
        <v>79680.42</v>
      </c>
      <c r="AT692" s="22">
        <f t="shared" si="582"/>
        <v>79680.42</v>
      </c>
      <c r="AU692" s="22">
        <f t="shared" si="582"/>
        <v>79680.42</v>
      </c>
      <c r="AV692" s="22">
        <f t="shared" si="582"/>
        <v>79680.42</v>
      </c>
      <c r="AW692" s="22">
        <f t="shared" si="582"/>
        <v>79680.42</v>
      </c>
      <c r="AX692" s="22">
        <f t="shared" si="582"/>
        <v>79680.42</v>
      </c>
      <c r="AY692" s="22">
        <f t="shared" si="582"/>
        <v>79680.42</v>
      </c>
      <c r="AZ692" s="22">
        <f t="shared" si="582"/>
        <v>79680.42</v>
      </c>
      <c r="BA692" s="22">
        <f t="shared" si="582"/>
        <v>79680.42</v>
      </c>
      <c r="BB692" s="22">
        <f t="shared" si="582"/>
        <v>79680.42</v>
      </c>
      <c r="BC692" s="22">
        <f t="shared" si="582"/>
        <v>79648.75</v>
      </c>
      <c r="BD692" s="22">
        <f t="shared" si="582"/>
        <v>956400.03999999992</v>
      </c>
    </row>
    <row r="693" spans="1:56" x14ac:dyDescent="0.3">
      <c r="D693" s="15"/>
    </row>
    <row r="694" spans="1:56" ht="15.5" x14ac:dyDescent="0.35">
      <c r="B694" s="20">
        <f>+B688+1</f>
        <v>83</v>
      </c>
      <c r="C694" s="1" t="s">
        <v>14</v>
      </c>
      <c r="D694" s="25" t="s">
        <v>336</v>
      </c>
    </row>
    <row r="695" spans="1:56" x14ac:dyDescent="0.3">
      <c r="D695" s="8" t="s">
        <v>8</v>
      </c>
      <c r="E695" s="12">
        <v>699.58</v>
      </c>
      <c r="F695" s="12">
        <v>699.58</v>
      </c>
      <c r="G695" s="12">
        <v>699.58</v>
      </c>
      <c r="H695" s="12">
        <v>699.58</v>
      </c>
      <c r="I695" s="12">
        <v>699.58</v>
      </c>
      <c r="J695" s="12">
        <v>699.58</v>
      </c>
      <c r="K695" s="12">
        <v>699.58</v>
      </c>
      <c r="L695" s="12">
        <v>699.58</v>
      </c>
      <c r="M695" s="12">
        <v>699.58</v>
      </c>
      <c r="N695" s="12">
        <v>699.58</v>
      </c>
      <c r="O695" s="12">
        <v>699.58</v>
      </c>
      <c r="P695" s="12">
        <v>699.58</v>
      </c>
      <c r="Q695" s="12">
        <f>SUM(E695:P695)</f>
        <v>8394.9600000000009</v>
      </c>
      <c r="R695" s="37">
        <v>691.67</v>
      </c>
      <c r="S695" s="37">
        <v>691.67</v>
      </c>
      <c r="T695" s="37">
        <v>691.67</v>
      </c>
      <c r="U695" s="37">
        <v>691.67</v>
      </c>
      <c r="V695" s="37">
        <v>691.67</v>
      </c>
      <c r="W695" s="37">
        <v>691.67</v>
      </c>
      <c r="X695" s="37">
        <v>691.67</v>
      </c>
      <c r="Y695" s="37">
        <v>691.67</v>
      </c>
      <c r="Z695" s="37">
        <v>691.67</v>
      </c>
      <c r="AA695" s="37">
        <v>691.67</v>
      </c>
      <c r="AB695" s="37">
        <v>691.67</v>
      </c>
      <c r="AC695" s="37">
        <v>691.67</v>
      </c>
      <c r="AD695" s="12">
        <f>SUM(R695:AC695)</f>
        <v>8300.0399999999991</v>
      </c>
      <c r="AE695" s="12">
        <v>666.25</v>
      </c>
      <c r="AF695" s="12">
        <v>666.25</v>
      </c>
      <c r="AG695" s="12">
        <v>666.25</v>
      </c>
      <c r="AH695" s="12">
        <v>666.25</v>
      </c>
      <c r="AI695" s="12">
        <v>666.25</v>
      </c>
      <c r="AJ695" s="12">
        <v>666.25</v>
      </c>
      <c r="AK695" s="12">
        <v>666.25</v>
      </c>
      <c r="AL695" s="12">
        <v>666.25</v>
      </c>
      <c r="AM695" s="12">
        <v>666.25</v>
      </c>
      <c r="AN695" s="12">
        <v>666.25</v>
      </c>
      <c r="AO695" s="12">
        <v>666.25</v>
      </c>
      <c r="AP695" s="12">
        <v>666.25</v>
      </c>
      <c r="AQ695" s="3">
        <f>SUM(AE695:AP695)</f>
        <v>7995</v>
      </c>
      <c r="AR695" s="3">
        <v>640</v>
      </c>
      <c r="AS695" s="3">
        <v>640</v>
      </c>
      <c r="AT695" s="3">
        <v>640</v>
      </c>
      <c r="AU695" s="3">
        <v>640</v>
      </c>
      <c r="AV695" s="3">
        <v>640</v>
      </c>
      <c r="AW695" s="3">
        <v>640</v>
      </c>
      <c r="AX695" s="3">
        <v>640</v>
      </c>
      <c r="AY695" s="3">
        <v>640</v>
      </c>
      <c r="AZ695" s="3">
        <v>640</v>
      </c>
      <c r="BA695" s="3">
        <v>640</v>
      </c>
      <c r="BB695" s="3">
        <v>640</v>
      </c>
      <c r="BC695" s="3">
        <v>640</v>
      </c>
      <c r="BD695" s="3">
        <f>SUM(AR695:BC695)</f>
        <v>7680</v>
      </c>
    </row>
    <row r="696" spans="1:56" x14ac:dyDescent="0.3">
      <c r="D696" s="8" t="s">
        <v>9</v>
      </c>
      <c r="E696" s="11">
        <v>250</v>
      </c>
      <c r="Q696" s="12">
        <f>SUM(E696:P696)</f>
        <v>250</v>
      </c>
      <c r="R696" s="11">
        <v>250</v>
      </c>
      <c r="AD696" s="12">
        <f>SUM(R696:AC696)</f>
        <v>250</v>
      </c>
      <c r="AE696" s="11">
        <v>250</v>
      </c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3">
        <f>SUM(AE696:AP696)</f>
        <v>250</v>
      </c>
      <c r="AR696" s="3">
        <v>250</v>
      </c>
      <c r="AS696" s="3">
        <v>0</v>
      </c>
      <c r="AT696" s="3">
        <v>0</v>
      </c>
      <c r="AU696" s="3">
        <v>0</v>
      </c>
      <c r="AV696" s="3">
        <v>0</v>
      </c>
      <c r="AW696" s="3">
        <v>0</v>
      </c>
      <c r="AX696" s="3">
        <v>0</v>
      </c>
      <c r="AY696" s="3">
        <v>0</v>
      </c>
      <c r="AZ696" s="3">
        <v>0</v>
      </c>
      <c r="BA696" s="3">
        <v>0</v>
      </c>
      <c r="BB696" s="3">
        <v>0</v>
      </c>
      <c r="BC696" s="3">
        <v>0</v>
      </c>
      <c r="BD696" s="3">
        <f>SUM(AR696:BC696)</f>
        <v>250</v>
      </c>
    </row>
    <row r="697" spans="1:56" ht="13.5" thickBot="1" x14ac:dyDescent="0.35">
      <c r="A697" t="s">
        <v>337</v>
      </c>
      <c r="D697" s="8" t="s">
        <v>10</v>
      </c>
      <c r="E697" s="12">
        <v>35429.17</v>
      </c>
      <c r="F697" s="12">
        <v>35429.17</v>
      </c>
      <c r="G697" s="12">
        <v>35429.17</v>
      </c>
      <c r="H697" s="12">
        <v>35429.17</v>
      </c>
      <c r="I697" s="12">
        <v>35429.17</v>
      </c>
      <c r="J697" s="12">
        <v>35429.17</v>
      </c>
      <c r="K697" s="12">
        <v>35429.17</v>
      </c>
      <c r="L697" s="12">
        <v>35429.17</v>
      </c>
      <c r="M697" s="12">
        <v>35429.17</v>
      </c>
      <c r="N697" s="12">
        <v>35429.17</v>
      </c>
      <c r="O697" s="12">
        <v>35429.17</v>
      </c>
      <c r="P697" s="12">
        <v>35429.129999999997</v>
      </c>
      <c r="Q697" s="12">
        <f>SUM(E697:P697)</f>
        <v>425149.99999999988</v>
      </c>
      <c r="R697" s="11">
        <f>25416.67+27314.58</f>
        <v>52731.25</v>
      </c>
      <c r="S697" s="11">
        <f t="shared" ref="S697:AB697" si="583">25416.67+27314.58</f>
        <v>52731.25</v>
      </c>
      <c r="T697" s="11">
        <f t="shared" si="583"/>
        <v>52731.25</v>
      </c>
      <c r="U697" s="11">
        <f t="shared" si="583"/>
        <v>52731.25</v>
      </c>
      <c r="V697" s="11">
        <f t="shared" si="583"/>
        <v>52731.25</v>
      </c>
      <c r="W697" s="11">
        <f>25416.67+27314.6</f>
        <v>52731.27</v>
      </c>
      <c r="X697" s="11">
        <f t="shared" si="583"/>
        <v>52731.25</v>
      </c>
      <c r="Y697" s="11">
        <f t="shared" si="583"/>
        <v>52731.25</v>
      </c>
      <c r="Z697" s="11">
        <f t="shared" si="583"/>
        <v>52731.25</v>
      </c>
      <c r="AA697" s="11">
        <f t="shared" si="583"/>
        <v>52731.25</v>
      </c>
      <c r="AB697" s="11">
        <f t="shared" si="583"/>
        <v>52731.25</v>
      </c>
      <c r="AC697" s="11">
        <f>25416.63+27314.6</f>
        <v>52731.229999999996</v>
      </c>
      <c r="AD697" s="12">
        <f>SUM(R697:AC697)</f>
        <v>632775</v>
      </c>
      <c r="AE697" s="12">
        <f>26250+26379.17</f>
        <v>52629.17</v>
      </c>
      <c r="AF697" s="12">
        <f t="shared" ref="AF697:AO697" si="584">26250+26379.17</f>
        <v>52629.17</v>
      </c>
      <c r="AG697" s="12">
        <f t="shared" si="584"/>
        <v>52629.17</v>
      </c>
      <c r="AH697" s="12">
        <f t="shared" si="584"/>
        <v>52629.17</v>
      </c>
      <c r="AI697" s="12">
        <f t="shared" si="584"/>
        <v>52629.17</v>
      </c>
      <c r="AJ697" s="12">
        <f>26250+26379.15</f>
        <v>52629.15</v>
      </c>
      <c r="AK697" s="12">
        <f t="shared" si="584"/>
        <v>52629.17</v>
      </c>
      <c r="AL697" s="12">
        <f t="shared" si="584"/>
        <v>52629.17</v>
      </c>
      <c r="AM697" s="12">
        <f t="shared" si="584"/>
        <v>52629.17</v>
      </c>
      <c r="AN697" s="12">
        <f t="shared" si="584"/>
        <v>52629.17</v>
      </c>
      <c r="AO697" s="12">
        <f t="shared" si="584"/>
        <v>52629.17</v>
      </c>
      <c r="AP697" s="12">
        <f>26250+26379.15</f>
        <v>52629.15</v>
      </c>
      <c r="AQ697" s="3">
        <f>SUM(AE697:AP697)</f>
        <v>631550</v>
      </c>
      <c r="AR697" s="3">
        <f>27083.33+25329.17</f>
        <v>52412.5</v>
      </c>
      <c r="AS697" s="3">
        <f>27083.33+25329.17</f>
        <v>52412.5</v>
      </c>
      <c r="AT697" s="3">
        <f t="shared" ref="AT697:BB697" si="585">27083.33+25329.17</f>
        <v>52412.5</v>
      </c>
      <c r="AU697" s="3">
        <f t="shared" si="585"/>
        <v>52412.5</v>
      </c>
      <c r="AV697" s="3">
        <f t="shared" si="585"/>
        <v>52412.5</v>
      </c>
      <c r="AW697" s="3">
        <f>27083.33+25329.15</f>
        <v>52412.480000000003</v>
      </c>
      <c r="AX697" s="3">
        <f t="shared" si="585"/>
        <v>52412.5</v>
      </c>
      <c r="AY697" s="3">
        <f t="shared" si="585"/>
        <v>52412.5</v>
      </c>
      <c r="AZ697" s="3">
        <f t="shared" si="585"/>
        <v>52412.5</v>
      </c>
      <c r="BA697" s="3">
        <f t="shared" si="585"/>
        <v>52412.5</v>
      </c>
      <c r="BB697" s="3">
        <f t="shared" si="585"/>
        <v>52412.5</v>
      </c>
      <c r="BC697" s="3">
        <f>27083.37+25329.15</f>
        <v>52412.520000000004</v>
      </c>
      <c r="BD697" s="3">
        <f>SUM(AR697:BC697)</f>
        <v>628950</v>
      </c>
    </row>
    <row r="698" spans="1:56" ht="13.5" thickBot="1" x14ac:dyDescent="0.35">
      <c r="D698" s="13" t="s">
        <v>338</v>
      </c>
      <c r="E698" s="14">
        <f t="shared" ref="E698:AC698" si="586">SUM(E695:E697)</f>
        <v>36378.75</v>
      </c>
      <c r="F698" s="14">
        <f t="shared" si="586"/>
        <v>36128.75</v>
      </c>
      <c r="G698" s="14">
        <f t="shared" si="586"/>
        <v>36128.75</v>
      </c>
      <c r="H698" s="14">
        <f t="shared" si="586"/>
        <v>36128.75</v>
      </c>
      <c r="I698" s="14">
        <f t="shared" si="586"/>
        <v>36128.75</v>
      </c>
      <c r="J698" s="14">
        <f t="shared" si="586"/>
        <v>36128.75</v>
      </c>
      <c r="K698" s="14">
        <f t="shared" si="586"/>
        <v>36128.75</v>
      </c>
      <c r="L698" s="14">
        <f t="shared" si="586"/>
        <v>36128.75</v>
      </c>
      <c r="M698" s="14">
        <f t="shared" si="586"/>
        <v>36128.75</v>
      </c>
      <c r="N698" s="14">
        <f t="shared" si="586"/>
        <v>36128.75</v>
      </c>
      <c r="O698" s="14">
        <f t="shared" si="586"/>
        <v>36128.75</v>
      </c>
      <c r="P698" s="14">
        <f t="shared" si="586"/>
        <v>36128.71</v>
      </c>
      <c r="Q698" s="14">
        <f t="shared" si="586"/>
        <v>433794.9599999999</v>
      </c>
      <c r="R698" s="14">
        <f t="shared" si="586"/>
        <v>53672.92</v>
      </c>
      <c r="S698" s="14">
        <f t="shared" si="586"/>
        <v>53422.92</v>
      </c>
      <c r="T698" s="14">
        <f t="shared" si="586"/>
        <v>53422.92</v>
      </c>
      <c r="U698" s="14">
        <f t="shared" si="586"/>
        <v>53422.92</v>
      </c>
      <c r="V698" s="14">
        <f t="shared" si="586"/>
        <v>53422.92</v>
      </c>
      <c r="W698" s="14">
        <f t="shared" si="586"/>
        <v>53422.939999999995</v>
      </c>
      <c r="X698" s="14">
        <f t="shared" si="586"/>
        <v>53422.92</v>
      </c>
      <c r="Y698" s="14">
        <f t="shared" si="586"/>
        <v>53422.92</v>
      </c>
      <c r="Z698" s="14">
        <f t="shared" si="586"/>
        <v>53422.92</v>
      </c>
      <c r="AA698" s="14">
        <f t="shared" si="586"/>
        <v>53422.92</v>
      </c>
      <c r="AB698" s="14">
        <f t="shared" si="586"/>
        <v>53422.92</v>
      </c>
      <c r="AC698" s="14">
        <f t="shared" si="586"/>
        <v>53422.899999999994</v>
      </c>
      <c r="AD698" s="14">
        <f>SUM(AD695:AD697)</f>
        <v>641325.04</v>
      </c>
      <c r="AE698" s="14">
        <f>SUM(AE695:AE697)</f>
        <v>53545.42</v>
      </c>
      <c r="AF698" s="14">
        <f>SUM(AF695:AF697)</f>
        <v>53295.42</v>
      </c>
      <c r="AG698" s="14">
        <f t="shared" ref="AG698:AP698" si="587">SUM(AG695:AG697)</f>
        <v>53295.42</v>
      </c>
      <c r="AH698" s="14">
        <f t="shared" si="587"/>
        <v>53295.42</v>
      </c>
      <c r="AI698" s="14">
        <f t="shared" si="587"/>
        <v>53295.42</v>
      </c>
      <c r="AJ698" s="14">
        <f t="shared" si="587"/>
        <v>53295.4</v>
      </c>
      <c r="AK698" s="14">
        <f t="shared" si="587"/>
        <v>53295.42</v>
      </c>
      <c r="AL698" s="14">
        <f t="shared" si="587"/>
        <v>53295.42</v>
      </c>
      <c r="AM698" s="14">
        <f t="shared" si="587"/>
        <v>53295.42</v>
      </c>
      <c r="AN698" s="14">
        <f t="shared" si="587"/>
        <v>53295.42</v>
      </c>
      <c r="AO698" s="14">
        <f t="shared" si="587"/>
        <v>53295.42</v>
      </c>
      <c r="AP698" s="14">
        <f t="shared" si="587"/>
        <v>53295.4</v>
      </c>
      <c r="AQ698" s="22">
        <f>SUM(AQ695:AQ697)</f>
        <v>639795</v>
      </c>
      <c r="AR698" s="22">
        <f t="shared" ref="AR698:BD698" si="588">SUM(AR695:AR697)</f>
        <v>53302.5</v>
      </c>
      <c r="AS698" s="22">
        <f t="shared" si="588"/>
        <v>53052.5</v>
      </c>
      <c r="AT698" s="22">
        <f t="shared" si="588"/>
        <v>53052.5</v>
      </c>
      <c r="AU698" s="22">
        <f t="shared" si="588"/>
        <v>53052.5</v>
      </c>
      <c r="AV698" s="22">
        <f t="shared" si="588"/>
        <v>53052.5</v>
      </c>
      <c r="AW698" s="22">
        <f t="shared" si="588"/>
        <v>53052.480000000003</v>
      </c>
      <c r="AX698" s="22">
        <f t="shared" si="588"/>
        <v>53052.5</v>
      </c>
      <c r="AY698" s="22">
        <f t="shared" si="588"/>
        <v>53052.5</v>
      </c>
      <c r="AZ698" s="22">
        <f t="shared" si="588"/>
        <v>53052.5</v>
      </c>
      <c r="BA698" s="22">
        <f t="shared" si="588"/>
        <v>53052.5</v>
      </c>
      <c r="BB698" s="22">
        <f t="shared" si="588"/>
        <v>53052.5</v>
      </c>
      <c r="BC698" s="22">
        <f t="shared" si="588"/>
        <v>53052.520000000004</v>
      </c>
      <c r="BD698" s="22">
        <f t="shared" si="588"/>
        <v>636880</v>
      </c>
    </row>
    <row r="699" spans="1:56" x14ac:dyDescent="0.3">
      <c r="D699" s="15"/>
    </row>
    <row r="700" spans="1:56" ht="15.5" x14ac:dyDescent="0.35">
      <c r="B700" s="20">
        <f>+B694+1</f>
        <v>84</v>
      </c>
      <c r="C700" s="1" t="s">
        <v>14</v>
      </c>
      <c r="D700" s="25" t="s">
        <v>339</v>
      </c>
    </row>
    <row r="701" spans="1:56" x14ac:dyDescent="0.3">
      <c r="D701" s="8" t="s">
        <v>8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f>SUM(E701:P701)</f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f>SUM(R701:AC701)</f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0</v>
      </c>
      <c r="AJ701" s="12">
        <v>0</v>
      </c>
      <c r="AK701" s="12">
        <v>0</v>
      </c>
      <c r="AL701" s="12">
        <v>0</v>
      </c>
      <c r="AM701" s="12">
        <v>0</v>
      </c>
      <c r="AN701" s="12">
        <v>0</v>
      </c>
      <c r="AO701" s="12">
        <v>0</v>
      </c>
      <c r="AP701" s="12">
        <v>0</v>
      </c>
      <c r="AQ701" s="3">
        <f>SUM(AE701:AP701)</f>
        <v>0</v>
      </c>
      <c r="AR701" s="3">
        <v>0</v>
      </c>
      <c r="AS701" s="3">
        <v>0</v>
      </c>
      <c r="AT701" s="3">
        <v>0</v>
      </c>
      <c r="AU701" s="3">
        <v>0</v>
      </c>
      <c r="AV701" s="3">
        <v>0</v>
      </c>
      <c r="AW701" s="3">
        <v>0</v>
      </c>
      <c r="AX701" s="3">
        <v>0</v>
      </c>
      <c r="AY701" s="3">
        <v>0</v>
      </c>
      <c r="AZ701" s="3">
        <v>0</v>
      </c>
      <c r="BA701" s="3">
        <v>0</v>
      </c>
      <c r="BB701" s="3">
        <v>0</v>
      </c>
      <c r="BC701" s="3">
        <v>0</v>
      </c>
      <c r="BD701" s="3">
        <f>SUM(AR701:BC701)</f>
        <v>0</v>
      </c>
    </row>
    <row r="702" spans="1:56" x14ac:dyDescent="0.3">
      <c r="D702" s="8" t="s">
        <v>9</v>
      </c>
      <c r="E702" s="11"/>
      <c r="F702" s="11">
        <v>229.17</v>
      </c>
      <c r="Q702" s="12">
        <f>SUM(E702:P702)</f>
        <v>229.17</v>
      </c>
      <c r="R702" s="11">
        <v>250</v>
      </c>
      <c r="AD702" s="12">
        <f>SUM(R702:AC702)</f>
        <v>250</v>
      </c>
      <c r="AE702" s="11">
        <v>250</v>
      </c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3">
        <f>SUM(AE702:AP702)</f>
        <v>250</v>
      </c>
      <c r="AR702" s="3">
        <v>250</v>
      </c>
      <c r="AS702" s="3">
        <v>0</v>
      </c>
      <c r="AT702" s="3">
        <v>0</v>
      </c>
      <c r="AU702" s="3">
        <v>0</v>
      </c>
      <c r="AV702" s="3">
        <v>0</v>
      </c>
      <c r="AW702" s="3">
        <v>0</v>
      </c>
      <c r="AX702" s="3">
        <v>0</v>
      </c>
      <c r="AY702" s="3">
        <v>0</v>
      </c>
      <c r="AZ702" s="3">
        <v>0</v>
      </c>
      <c r="BA702" s="3">
        <v>0</v>
      </c>
      <c r="BB702" s="3">
        <v>0</v>
      </c>
      <c r="BC702" s="3">
        <v>0</v>
      </c>
      <c r="BD702" s="3">
        <f>SUM(AR702:BC702)</f>
        <v>250</v>
      </c>
    </row>
    <row r="703" spans="1:56" ht="13.5" thickBot="1" x14ac:dyDescent="0.35">
      <c r="A703" t="s">
        <v>340</v>
      </c>
      <c r="D703" s="8" t="s">
        <v>10</v>
      </c>
      <c r="E703" s="12">
        <v>0</v>
      </c>
      <c r="F703" s="12">
        <v>105949.49</v>
      </c>
      <c r="G703" s="12">
        <v>105949.49</v>
      </c>
      <c r="H703" s="12">
        <v>105949.49</v>
      </c>
      <c r="I703" s="12">
        <v>105949.46</v>
      </c>
      <c r="J703" s="12">
        <v>93484.84</v>
      </c>
      <c r="K703" s="12">
        <v>93484.84</v>
      </c>
      <c r="L703" s="12">
        <v>93484.84</v>
      </c>
      <c r="M703" s="12">
        <v>93484.84</v>
      </c>
      <c r="N703" s="12">
        <v>93484.84</v>
      </c>
      <c r="O703" s="12">
        <v>93484.82</v>
      </c>
      <c r="P703" s="12">
        <v>93484.84</v>
      </c>
      <c r="Q703" s="12">
        <f>SUM(E703:P703)</f>
        <v>1078191.79</v>
      </c>
      <c r="R703" s="12">
        <v>93484.84</v>
      </c>
      <c r="S703" s="12">
        <v>93484.84</v>
      </c>
      <c r="T703" s="12">
        <v>93484.84</v>
      </c>
      <c r="U703" s="12">
        <v>93484.84</v>
      </c>
      <c r="V703" s="12">
        <v>93484.84</v>
      </c>
      <c r="W703" s="12">
        <v>93484.84</v>
      </c>
      <c r="X703" s="12">
        <v>93484.84</v>
      </c>
      <c r="Y703" s="12">
        <v>93484.84</v>
      </c>
      <c r="Z703" s="12">
        <v>93484.84</v>
      </c>
      <c r="AA703" s="12">
        <v>93484.84</v>
      </c>
      <c r="AB703" s="12">
        <v>93484.800000000003</v>
      </c>
      <c r="AC703" s="12">
        <f>2510.42+93484.84</f>
        <v>95995.26</v>
      </c>
      <c r="AD703" s="12">
        <f>SUM(R703:AC703)</f>
        <v>1124328.4599999997</v>
      </c>
      <c r="AE703" s="12">
        <f t="shared" ref="AE703:AN703" si="589">2510.42+93484.84</f>
        <v>95995.26</v>
      </c>
      <c r="AF703" s="12">
        <f t="shared" si="589"/>
        <v>95995.26</v>
      </c>
      <c r="AG703" s="12">
        <f t="shared" si="589"/>
        <v>95995.26</v>
      </c>
      <c r="AH703" s="12">
        <f t="shared" si="589"/>
        <v>95995.26</v>
      </c>
      <c r="AI703" s="12">
        <f t="shared" si="589"/>
        <v>95995.26</v>
      </c>
      <c r="AJ703" s="12">
        <f t="shared" si="589"/>
        <v>95995.26</v>
      </c>
      <c r="AK703" s="12">
        <f t="shared" si="589"/>
        <v>95995.26</v>
      </c>
      <c r="AL703" s="12">
        <f t="shared" si="589"/>
        <v>95995.26</v>
      </c>
      <c r="AM703" s="12">
        <f t="shared" si="589"/>
        <v>95995.26</v>
      </c>
      <c r="AN703" s="12">
        <f t="shared" si="589"/>
        <v>95995.26</v>
      </c>
      <c r="AO703" s="12">
        <f>2510.38+93484.8</f>
        <v>95995.180000000008</v>
      </c>
      <c r="AP703" s="12">
        <f>2661.09+93334.22</f>
        <v>95995.31</v>
      </c>
      <c r="AQ703" s="3">
        <f>SUM(AE703:AP703)</f>
        <v>1151943.0900000001</v>
      </c>
      <c r="AR703" s="3">
        <f>2661.09+93334.22</f>
        <v>95995.31</v>
      </c>
      <c r="AS703" s="3">
        <f>2661.09+93334.22</f>
        <v>95995.31</v>
      </c>
      <c r="AT703" s="3">
        <f t="shared" ref="AT703:BA703" si="590">2661.09+93334.22</f>
        <v>95995.31</v>
      </c>
      <c r="AU703" s="3">
        <f t="shared" si="590"/>
        <v>95995.31</v>
      </c>
      <c r="AV703" s="3">
        <f t="shared" si="590"/>
        <v>95995.31</v>
      </c>
      <c r="AW703" s="3">
        <f t="shared" si="590"/>
        <v>95995.31</v>
      </c>
      <c r="AX703" s="3">
        <f t="shared" si="590"/>
        <v>95995.31</v>
      </c>
      <c r="AY703" s="3">
        <f t="shared" si="590"/>
        <v>95995.31</v>
      </c>
      <c r="AZ703" s="3">
        <f t="shared" si="590"/>
        <v>95995.31</v>
      </c>
      <c r="BA703" s="3">
        <f t="shared" si="590"/>
        <v>95995.31</v>
      </c>
      <c r="BB703" s="3">
        <f>2661.01+93334.14</f>
        <v>95995.15</v>
      </c>
      <c r="BC703" s="3">
        <f>2820.75+93174.55</f>
        <v>95995.3</v>
      </c>
      <c r="BD703" s="3">
        <f>SUM(AR703:BC703)</f>
        <v>1151943.55</v>
      </c>
    </row>
    <row r="704" spans="1:56" ht="13.5" thickBot="1" x14ac:dyDescent="0.35">
      <c r="D704" s="13" t="s">
        <v>341</v>
      </c>
      <c r="E704" s="14">
        <f t="shared" ref="E704:AC704" si="591">SUM(E701:E703)</f>
        <v>0</v>
      </c>
      <c r="F704" s="14">
        <f t="shared" si="591"/>
        <v>106178.66</v>
      </c>
      <c r="G704" s="14">
        <f t="shared" si="591"/>
        <v>105949.49</v>
      </c>
      <c r="H704" s="14">
        <f t="shared" si="591"/>
        <v>105949.49</v>
      </c>
      <c r="I704" s="14">
        <f t="shared" si="591"/>
        <v>105949.46</v>
      </c>
      <c r="J704" s="14">
        <f t="shared" si="591"/>
        <v>93484.84</v>
      </c>
      <c r="K704" s="14">
        <f t="shared" si="591"/>
        <v>93484.84</v>
      </c>
      <c r="L704" s="14">
        <f t="shared" si="591"/>
        <v>93484.84</v>
      </c>
      <c r="M704" s="14">
        <f t="shared" si="591"/>
        <v>93484.84</v>
      </c>
      <c r="N704" s="14">
        <f t="shared" si="591"/>
        <v>93484.84</v>
      </c>
      <c r="O704" s="14">
        <f t="shared" si="591"/>
        <v>93484.82</v>
      </c>
      <c r="P704" s="14">
        <f t="shared" si="591"/>
        <v>93484.84</v>
      </c>
      <c r="Q704" s="14">
        <f t="shared" si="591"/>
        <v>1078420.96</v>
      </c>
      <c r="R704" s="14">
        <f t="shared" si="591"/>
        <v>93734.84</v>
      </c>
      <c r="S704" s="14">
        <f t="shared" si="591"/>
        <v>93484.84</v>
      </c>
      <c r="T704" s="14">
        <f t="shared" si="591"/>
        <v>93484.84</v>
      </c>
      <c r="U704" s="14">
        <f t="shared" si="591"/>
        <v>93484.84</v>
      </c>
      <c r="V704" s="14">
        <f t="shared" si="591"/>
        <v>93484.84</v>
      </c>
      <c r="W704" s="14">
        <f t="shared" si="591"/>
        <v>93484.84</v>
      </c>
      <c r="X704" s="14">
        <f t="shared" si="591"/>
        <v>93484.84</v>
      </c>
      <c r="Y704" s="14">
        <f t="shared" si="591"/>
        <v>93484.84</v>
      </c>
      <c r="Z704" s="14">
        <f t="shared" si="591"/>
        <v>93484.84</v>
      </c>
      <c r="AA704" s="14">
        <f t="shared" si="591"/>
        <v>93484.84</v>
      </c>
      <c r="AB704" s="14">
        <f t="shared" si="591"/>
        <v>93484.800000000003</v>
      </c>
      <c r="AC704" s="14">
        <f t="shared" si="591"/>
        <v>95995.26</v>
      </c>
      <c r="AD704" s="14">
        <f>SUM(AD701:AD703)</f>
        <v>1124578.4599999997</v>
      </c>
      <c r="AE704" s="14">
        <f>SUM(AE701:AE703)</f>
        <v>96245.26</v>
      </c>
      <c r="AF704" s="14">
        <f>SUM(AF701:AF703)</f>
        <v>95995.26</v>
      </c>
      <c r="AG704" s="14">
        <f t="shared" ref="AG704:AP704" si="592">SUM(AG701:AG703)</f>
        <v>95995.26</v>
      </c>
      <c r="AH704" s="14">
        <f t="shared" si="592"/>
        <v>95995.26</v>
      </c>
      <c r="AI704" s="14">
        <f t="shared" si="592"/>
        <v>95995.26</v>
      </c>
      <c r="AJ704" s="14">
        <f t="shared" si="592"/>
        <v>95995.26</v>
      </c>
      <c r="AK704" s="14">
        <f t="shared" si="592"/>
        <v>95995.26</v>
      </c>
      <c r="AL704" s="14">
        <f t="shared" si="592"/>
        <v>95995.26</v>
      </c>
      <c r="AM704" s="14">
        <f t="shared" si="592"/>
        <v>95995.26</v>
      </c>
      <c r="AN704" s="14">
        <f t="shared" si="592"/>
        <v>95995.26</v>
      </c>
      <c r="AO704" s="14">
        <f t="shared" si="592"/>
        <v>95995.180000000008</v>
      </c>
      <c r="AP704" s="14">
        <f t="shared" si="592"/>
        <v>95995.31</v>
      </c>
      <c r="AQ704" s="22">
        <f>SUM(AQ701:AQ703)</f>
        <v>1152193.0900000001</v>
      </c>
      <c r="AR704" s="22">
        <f t="shared" ref="AR704:BD704" si="593">SUM(AR701:AR703)</f>
        <v>96245.31</v>
      </c>
      <c r="AS704" s="22">
        <f t="shared" si="593"/>
        <v>95995.31</v>
      </c>
      <c r="AT704" s="22">
        <f t="shared" si="593"/>
        <v>95995.31</v>
      </c>
      <c r="AU704" s="22">
        <f t="shared" si="593"/>
        <v>95995.31</v>
      </c>
      <c r="AV704" s="22">
        <f t="shared" si="593"/>
        <v>95995.31</v>
      </c>
      <c r="AW704" s="22">
        <f t="shared" si="593"/>
        <v>95995.31</v>
      </c>
      <c r="AX704" s="22">
        <f t="shared" si="593"/>
        <v>95995.31</v>
      </c>
      <c r="AY704" s="22">
        <f t="shared" si="593"/>
        <v>95995.31</v>
      </c>
      <c r="AZ704" s="22">
        <f t="shared" si="593"/>
        <v>95995.31</v>
      </c>
      <c r="BA704" s="22">
        <f t="shared" si="593"/>
        <v>95995.31</v>
      </c>
      <c r="BB704" s="22">
        <f t="shared" si="593"/>
        <v>95995.15</v>
      </c>
      <c r="BC704" s="22">
        <f t="shared" si="593"/>
        <v>95995.3</v>
      </c>
      <c r="BD704" s="22">
        <f t="shared" si="593"/>
        <v>1152193.55</v>
      </c>
    </row>
    <row r="705" spans="1:56" x14ac:dyDescent="0.3">
      <c r="D705" s="15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</row>
    <row r="706" spans="1:56" ht="15.5" x14ac:dyDescent="0.35">
      <c r="B706" s="20">
        <f>+B700+1</f>
        <v>85</v>
      </c>
      <c r="C706" s="1" t="s">
        <v>14</v>
      </c>
      <c r="D706" s="25" t="s">
        <v>342</v>
      </c>
    </row>
    <row r="707" spans="1:56" x14ac:dyDescent="0.3">
      <c r="D707" s="8" t="s">
        <v>8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f>SUM(E707:P707)</f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f>SUM(R707:AC707)</f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0</v>
      </c>
      <c r="AK707" s="12">
        <v>0</v>
      </c>
      <c r="AL707" s="12">
        <v>0</v>
      </c>
      <c r="AM707" s="12">
        <v>0</v>
      </c>
      <c r="AN707" s="12">
        <v>0</v>
      </c>
      <c r="AO707" s="12">
        <v>0</v>
      </c>
      <c r="AP707" s="12">
        <v>0</v>
      </c>
      <c r="AQ707" s="3">
        <f>SUM(AE707:AP707)</f>
        <v>0</v>
      </c>
      <c r="AR707" s="3">
        <v>0</v>
      </c>
      <c r="AS707" s="3">
        <v>0</v>
      </c>
      <c r="AT707" s="3">
        <v>0</v>
      </c>
      <c r="AU707" s="3">
        <v>0</v>
      </c>
      <c r="AV707" s="3">
        <v>0</v>
      </c>
      <c r="AW707" s="3">
        <v>0</v>
      </c>
      <c r="AX707" s="3">
        <v>0</v>
      </c>
      <c r="AY707" s="3">
        <v>0</v>
      </c>
      <c r="AZ707" s="3">
        <v>0</v>
      </c>
      <c r="BA707" s="3">
        <v>0</v>
      </c>
      <c r="BB707" s="3">
        <v>0</v>
      </c>
      <c r="BC707" s="3">
        <v>0</v>
      </c>
      <c r="BD707" s="3">
        <f>SUM(AR707:BC707)</f>
        <v>0</v>
      </c>
    </row>
    <row r="708" spans="1:56" x14ac:dyDescent="0.3">
      <c r="D708" s="8" t="s">
        <v>9</v>
      </c>
      <c r="E708" s="11"/>
      <c r="F708" s="11"/>
      <c r="H708" s="11"/>
      <c r="Q708" s="12">
        <f>SUM(E708:P708)</f>
        <v>0</v>
      </c>
      <c r="R708" s="11">
        <v>250</v>
      </c>
      <c r="AD708" s="12">
        <f>SUM(R708:AC708)</f>
        <v>250</v>
      </c>
      <c r="AE708" s="11">
        <v>250</v>
      </c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3">
        <f>SUM(AE708:AP708)</f>
        <v>250</v>
      </c>
      <c r="AR708" s="3">
        <v>250</v>
      </c>
      <c r="AS708" s="3">
        <v>0</v>
      </c>
      <c r="AT708" s="3">
        <v>0</v>
      </c>
      <c r="AU708" s="3">
        <v>0</v>
      </c>
      <c r="AV708" s="3">
        <v>0</v>
      </c>
      <c r="AW708" s="3">
        <v>0</v>
      </c>
      <c r="AX708" s="3">
        <v>0</v>
      </c>
      <c r="AY708" s="3">
        <v>0</v>
      </c>
      <c r="AZ708" s="3">
        <v>0</v>
      </c>
      <c r="BA708" s="3">
        <v>0</v>
      </c>
      <c r="BB708" s="3">
        <v>0</v>
      </c>
      <c r="BC708" s="3">
        <v>0</v>
      </c>
      <c r="BD708" s="3">
        <f>SUM(AR708:BC708)</f>
        <v>250</v>
      </c>
    </row>
    <row r="709" spans="1:56" ht="13.5" thickBot="1" x14ac:dyDescent="0.35">
      <c r="A709" t="s">
        <v>343</v>
      </c>
      <c r="D709" s="8" t="s">
        <v>10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f>SUM(E709:P709)</f>
        <v>0</v>
      </c>
      <c r="R709" s="12">
        <v>57680.47</v>
      </c>
      <c r="S709" s="12">
        <v>57680.47</v>
      </c>
      <c r="T709" s="12">
        <v>57680.47</v>
      </c>
      <c r="U709" s="12">
        <v>57680.47</v>
      </c>
      <c r="V709" s="12">
        <v>57680.47</v>
      </c>
      <c r="W709" s="12">
        <v>57680.45</v>
      </c>
      <c r="X709" s="12">
        <v>57680.47</v>
      </c>
      <c r="Y709" s="12">
        <v>57680.47</v>
      </c>
      <c r="Z709" s="12">
        <v>57680.47</v>
      </c>
      <c r="AA709" s="12">
        <v>57680.47</v>
      </c>
      <c r="AB709" s="12">
        <v>57680.47</v>
      </c>
      <c r="AC709" s="12">
        <v>57680.47</v>
      </c>
      <c r="AD709" s="12">
        <f>SUM(R709:AC709)</f>
        <v>692165.61999999988</v>
      </c>
      <c r="AE709" s="12">
        <v>76907.3</v>
      </c>
      <c r="AF709" s="12">
        <v>76907.3</v>
      </c>
      <c r="AG709" s="12">
        <v>76907.3</v>
      </c>
      <c r="AH709" s="12">
        <v>76907.3</v>
      </c>
      <c r="AI709" s="12">
        <v>76907.3</v>
      </c>
      <c r="AJ709" s="12">
        <v>76907.3</v>
      </c>
      <c r="AK709" s="12">
        <v>76907.3</v>
      </c>
      <c r="AL709" s="12">
        <v>76907.3</v>
      </c>
      <c r="AM709" s="12">
        <v>76907.3</v>
      </c>
      <c r="AN709" s="12">
        <v>76907.3</v>
      </c>
      <c r="AO709" s="12">
        <v>76907.3</v>
      </c>
      <c r="AP709" s="12">
        <v>76907.199999999997</v>
      </c>
      <c r="AQ709" s="3">
        <f>SUM(AE709:AP709)</f>
        <v>922887.50000000012</v>
      </c>
      <c r="AR709" s="3">
        <f>23333.34+76907.3</f>
        <v>100240.64</v>
      </c>
      <c r="AS709" s="3">
        <f t="shared" ref="AS709:BB709" si="594">23333.34+76907.3</f>
        <v>100240.64</v>
      </c>
      <c r="AT709" s="3">
        <f t="shared" si="594"/>
        <v>100240.64</v>
      </c>
      <c r="AU709" s="3">
        <f t="shared" si="594"/>
        <v>100240.64</v>
      </c>
      <c r="AV709" s="3">
        <f t="shared" si="594"/>
        <v>100240.64</v>
      </c>
      <c r="AW709" s="3">
        <f t="shared" si="594"/>
        <v>100240.64</v>
      </c>
      <c r="AX709" s="3">
        <f t="shared" si="594"/>
        <v>100240.64</v>
      </c>
      <c r="AY709" s="3">
        <f t="shared" si="594"/>
        <v>100240.64</v>
      </c>
      <c r="AZ709" s="3">
        <f t="shared" si="594"/>
        <v>100240.64</v>
      </c>
      <c r="BA709" s="3">
        <f t="shared" si="594"/>
        <v>100240.64</v>
      </c>
      <c r="BB709" s="3">
        <f t="shared" si="594"/>
        <v>100240.64</v>
      </c>
      <c r="BC709" s="3">
        <f>23333.26+76907.2</f>
        <v>100240.45999999999</v>
      </c>
      <c r="BD709" s="3">
        <f>SUM(AR709:BC709)</f>
        <v>1202887.5</v>
      </c>
    </row>
    <row r="710" spans="1:56" ht="13.5" thickBot="1" x14ac:dyDescent="0.35">
      <c r="D710" s="13" t="s">
        <v>226</v>
      </c>
      <c r="E710" s="14">
        <f t="shared" ref="E710:AC710" si="595">SUM(E707:E709)</f>
        <v>0</v>
      </c>
      <c r="F710" s="14">
        <f t="shared" si="595"/>
        <v>0</v>
      </c>
      <c r="G710" s="14">
        <f t="shared" si="595"/>
        <v>0</v>
      </c>
      <c r="H710" s="14">
        <f t="shared" si="595"/>
        <v>0</v>
      </c>
      <c r="I710" s="14">
        <f t="shared" si="595"/>
        <v>0</v>
      </c>
      <c r="J710" s="14">
        <f t="shared" si="595"/>
        <v>0</v>
      </c>
      <c r="K710" s="14">
        <f t="shared" si="595"/>
        <v>0</v>
      </c>
      <c r="L710" s="14">
        <f t="shared" si="595"/>
        <v>0</v>
      </c>
      <c r="M710" s="14">
        <f t="shared" si="595"/>
        <v>0</v>
      </c>
      <c r="N710" s="14">
        <f t="shared" si="595"/>
        <v>0</v>
      </c>
      <c r="O710" s="14">
        <f t="shared" si="595"/>
        <v>0</v>
      </c>
      <c r="P710" s="14">
        <f t="shared" si="595"/>
        <v>0</v>
      </c>
      <c r="Q710" s="14">
        <f t="shared" si="595"/>
        <v>0</v>
      </c>
      <c r="R710" s="14">
        <f t="shared" si="595"/>
        <v>57930.47</v>
      </c>
      <c r="S710" s="14">
        <f t="shared" si="595"/>
        <v>57680.47</v>
      </c>
      <c r="T710" s="14">
        <f t="shared" si="595"/>
        <v>57680.47</v>
      </c>
      <c r="U710" s="14">
        <f t="shared" si="595"/>
        <v>57680.47</v>
      </c>
      <c r="V710" s="14">
        <f t="shared" si="595"/>
        <v>57680.47</v>
      </c>
      <c r="W710" s="14">
        <f t="shared" si="595"/>
        <v>57680.45</v>
      </c>
      <c r="X710" s="14">
        <f t="shared" si="595"/>
        <v>57680.47</v>
      </c>
      <c r="Y710" s="14">
        <f t="shared" si="595"/>
        <v>57680.47</v>
      </c>
      <c r="Z710" s="14">
        <f t="shared" si="595"/>
        <v>57680.47</v>
      </c>
      <c r="AA710" s="14">
        <f t="shared" si="595"/>
        <v>57680.47</v>
      </c>
      <c r="AB710" s="14">
        <f t="shared" si="595"/>
        <v>57680.47</v>
      </c>
      <c r="AC710" s="14">
        <f t="shared" si="595"/>
        <v>57680.47</v>
      </c>
      <c r="AD710" s="14">
        <f>SUM(AD707:AD709)</f>
        <v>692415.61999999988</v>
      </c>
      <c r="AE710" s="14">
        <f>SUM(AE707:AE709)</f>
        <v>77157.3</v>
      </c>
      <c r="AF710" s="14">
        <f>SUM(AF707:AF709)</f>
        <v>76907.3</v>
      </c>
      <c r="AG710" s="14">
        <f t="shared" ref="AG710:AP710" si="596">SUM(AG707:AG709)</f>
        <v>76907.3</v>
      </c>
      <c r="AH710" s="14">
        <f t="shared" si="596"/>
        <v>76907.3</v>
      </c>
      <c r="AI710" s="14">
        <f t="shared" si="596"/>
        <v>76907.3</v>
      </c>
      <c r="AJ710" s="14">
        <f t="shared" si="596"/>
        <v>76907.3</v>
      </c>
      <c r="AK710" s="14">
        <f t="shared" si="596"/>
        <v>76907.3</v>
      </c>
      <c r="AL710" s="14">
        <f t="shared" si="596"/>
        <v>76907.3</v>
      </c>
      <c r="AM710" s="14">
        <f t="shared" si="596"/>
        <v>76907.3</v>
      </c>
      <c r="AN710" s="14">
        <f t="shared" si="596"/>
        <v>76907.3</v>
      </c>
      <c r="AO710" s="14">
        <f t="shared" si="596"/>
        <v>76907.3</v>
      </c>
      <c r="AP710" s="14">
        <f t="shared" si="596"/>
        <v>76907.199999999997</v>
      </c>
      <c r="AQ710" s="22">
        <f>SUM(AQ707:AQ709)</f>
        <v>923137.50000000012</v>
      </c>
      <c r="AR710" s="22">
        <f t="shared" ref="AR710:BD710" si="597">SUM(AR707:AR709)</f>
        <v>100490.64</v>
      </c>
      <c r="AS710" s="22">
        <f t="shared" si="597"/>
        <v>100240.64</v>
      </c>
      <c r="AT710" s="22">
        <f t="shared" si="597"/>
        <v>100240.64</v>
      </c>
      <c r="AU710" s="22">
        <f t="shared" si="597"/>
        <v>100240.64</v>
      </c>
      <c r="AV710" s="22">
        <f t="shared" si="597"/>
        <v>100240.64</v>
      </c>
      <c r="AW710" s="22">
        <f t="shared" si="597"/>
        <v>100240.64</v>
      </c>
      <c r="AX710" s="22">
        <f t="shared" si="597"/>
        <v>100240.64</v>
      </c>
      <c r="AY710" s="22">
        <f t="shared" si="597"/>
        <v>100240.64</v>
      </c>
      <c r="AZ710" s="22">
        <f t="shared" si="597"/>
        <v>100240.64</v>
      </c>
      <c r="BA710" s="22">
        <f t="shared" si="597"/>
        <v>100240.64</v>
      </c>
      <c r="BB710" s="22">
        <f t="shared" si="597"/>
        <v>100240.64</v>
      </c>
      <c r="BC710" s="22">
        <f t="shared" si="597"/>
        <v>100240.45999999999</v>
      </c>
      <c r="BD710" s="22">
        <f t="shared" si="597"/>
        <v>1203137.5</v>
      </c>
    </row>
    <row r="711" spans="1:56" x14ac:dyDescent="0.3">
      <c r="D711" s="15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</row>
    <row r="712" spans="1:56" ht="15.5" x14ac:dyDescent="0.35">
      <c r="B712" s="20">
        <f>+B706+1</f>
        <v>86</v>
      </c>
      <c r="C712" s="1" t="s">
        <v>14</v>
      </c>
      <c r="D712" s="25" t="s">
        <v>344</v>
      </c>
    </row>
    <row r="713" spans="1:56" x14ac:dyDescent="0.3">
      <c r="D713" s="8" t="s">
        <v>8</v>
      </c>
      <c r="E713" s="12">
        <v>0</v>
      </c>
      <c r="F713" s="12">
        <v>0</v>
      </c>
      <c r="G713" s="12">
        <v>0</v>
      </c>
      <c r="H713" s="12">
        <v>634.58000000000004</v>
      </c>
      <c r="I713" s="12">
        <v>634.58000000000004</v>
      </c>
      <c r="J713" s="12">
        <v>634.58000000000004</v>
      </c>
      <c r="K713" s="12">
        <v>634.58000000000004</v>
      </c>
      <c r="L713" s="12">
        <v>634.58000000000004</v>
      </c>
      <c r="M713" s="12">
        <v>634.58000000000004</v>
      </c>
      <c r="N713" s="12">
        <v>634.58000000000004</v>
      </c>
      <c r="O713" s="12">
        <v>634.58000000000004</v>
      </c>
      <c r="P713" s="12">
        <v>634.58000000000004</v>
      </c>
      <c r="Q713" s="12">
        <f>SUM(E713:P713)</f>
        <v>5711.22</v>
      </c>
      <c r="R713" s="12">
        <v>634.58000000000004</v>
      </c>
      <c r="S713" s="12">
        <v>634.58000000000004</v>
      </c>
      <c r="T713" s="12">
        <v>634.58000000000004</v>
      </c>
      <c r="U713" s="12">
        <v>625.41999999999996</v>
      </c>
      <c r="V713" s="12">
        <v>625.41999999999996</v>
      </c>
      <c r="W713" s="12">
        <v>625.41999999999996</v>
      </c>
      <c r="X713" s="12">
        <v>625.41999999999996</v>
      </c>
      <c r="Y713" s="12">
        <v>625.41999999999996</v>
      </c>
      <c r="Z713" s="12">
        <v>625.41999999999996</v>
      </c>
      <c r="AA713" s="12">
        <v>625.41999999999996</v>
      </c>
      <c r="AB713" s="12">
        <v>625.41999999999996</v>
      </c>
      <c r="AC713" s="12">
        <v>625.41999999999996</v>
      </c>
      <c r="AD713" s="12">
        <f>SUM(R713:AC713)</f>
        <v>7532.52</v>
      </c>
      <c r="AE713" s="12">
        <v>625.41999999999996</v>
      </c>
      <c r="AF713" s="12">
        <v>625.41999999999996</v>
      </c>
      <c r="AG713" s="12">
        <v>625.41999999999996</v>
      </c>
      <c r="AH713" s="12">
        <v>612.91999999999996</v>
      </c>
      <c r="AI713" s="12">
        <v>612.91999999999996</v>
      </c>
      <c r="AJ713" s="12">
        <v>612.91999999999996</v>
      </c>
      <c r="AK713" s="12">
        <v>612.91999999999996</v>
      </c>
      <c r="AL713" s="12">
        <v>612.91999999999996</v>
      </c>
      <c r="AM713" s="12">
        <v>612.91999999999996</v>
      </c>
      <c r="AN713" s="12">
        <v>612.91999999999996</v>
      </c>
      <c r="AO713" s="12">
        <v>612.91999999999996</v>
      </c>
      <c r="AP713" s="12">
        <v>612.91999999999996</v>
      </c>
      <c r="AQ713" s="3">
        <f>SUM(AE713:AP713)</f>
        <v>7392.54</v>
      </c>
      <c r="AR713" s="3">
        <v>612.91999999999996</v>
      </c>
      <c r="AS713" s="3">
        <v>612.91999999999996</v>
      </c>
      <c r="AT713" s="3">
        <v>612.91999999999996</v>
      </c>
      <c r="AU713" s="3">
        <v>600.41999999999996</v>
      </c>
      <c r="AV713" s="3">
        <v>600.41999999999996</v>
      </c>
      <c r="AW713" s="3">
        <v>600.41999999999996</v>
      </c>
      <c r="AX713" s="3">
        <v>600.41999999999996</v>
      </c>
      <c r="AY713" s="3">
        <v>600.41999999999996</v>
      </c>
      <c r="AZ713" s="3">
        <v>600.41999999999996</v>
      </c>
      <c r="BA713" s="3">
        <v>600.41999999999996</v>
      </c>
      <c r="BB713" s="3">
        <v>600.41999999999996</v>
      </c>
      <c r="BC713" s="3">
        <v>600.41999999999996</v>
      </c>
      <c r="BD713" s="3">
        <f>SUM(AR713:BC713)</f>
        <v>7242.54</v>
      </c>
    </row>
    <row r="714" spans="1:56" x14ac:dyDescent="0.3">
      <c r="D714" s="8" t="s">
        <v>9</v>
      </c>
      <c r="E714" s="11"/>
      <c r="F714" s="11"/>
      <c r="H714" s="11">
        <v>187.5</v>
      </c>
      <c r="Q714" s="12">
        <f>SUM(E714:P714)</f>
        <v>187.5</v>
      </c>
      <c r="R714" s="11">
        <v>250</v>
      </c>
      <c r="AD714" s="12">
        <f>SUM(R714:AC714)</f>
        <v>250</v>
      </c>
      <c r="AE714" s="11">
        <v>250</v>
      </c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3">
        <f>SUM(AE714:AP714)</f>
        <v>250</v>
      </c>
      <c r="AR714" s="3">
        <v>250</v>
      </c>
      <c r="AS714" s="3">
        <v>0</v>
      </c>
      <c r="AT714" s="3">
        <v>0</v>
      </c>
      <c r="AU714" s="3">
        <v>0</v>
      </c>
      <c r="AV714" s="3">
        <v>0</v>
      </c>
      <c r="AW714" s="3">
        <v>0</v>
      </c>
      <c r="AX714" s="3">
        <v>0</v>
      </c>
      <c r="AY714" s="3">
        <v>0</v>
      </c>
      <c r="AZ714" s="3">
        <v>0</v>
      </c>
      <c r="BA714" s="3">
        <v>0</v>
      </c>
      <c r="BB714" s="3">
        <v>0</v>
      </c>
      <c r="BC714" s="3">
        <v>0</v>
      </c>
      <c r="BD714" s="3">
        <f>SUM(AR714:BC714)</f>
        <v>250</v>
      </c>
    </row>
    <row r="715" spans="1:56" ht="13.5" thickBot="1" x14ac:dyDescent="0.35">
      <c r="A715" t="s">
        <v>345</v>
      </c>
      <c r="D715" s="8" t="s">
        <v>10</v>
      </c>
      <c r="E715" s="12">
        <v>0</v>
      </c>
      <c r="F715" s="12">
        <v>0</v>
      </c>
      <c r="G715" s="12">
        <v>0</v>
      </c>
      <c r="H715" s="12">
        <f>12222.22+21008.29</f>
        <v>33230.51</v>
      </c>
      <c r="I715" s="12">
        <f>12222.22+21008.29</f>
        <v>33230.51</v>
      </c>
      <c r="J715" s="12">
        <f>12222.22+21008.28</f>
        <v>33230.5</v>
      </c>
      <c r="K715" s="12">
        <f>12222.22+21985.42</f>
        <v>34207.64</v>
      </c>
      <c r="L715" s="12">
        <f>12222.22+21985.42</f>
        <v>34207.64</v>
      </c>
      <c r="M715" s="12">
        <f>12222.22+21985.42</f>
        <v>34207.64</v>
      </c>
      <c r="N715" s="12">
        <f>12222.22+21985.42</f>
        <v>34207.64</v>
      </c>
      <c r="O715" s="12">
        <f>12222.22+21985.42</f>
        <v>34207.64</v>
      </c>
      <c r="P715" s="12">
        <f>12222.24+21985.4</f>
        <v>34207.64</v>
      </c>
      <c r="Q715" s="12">
        <f>SUM(E715:P715)</f>
        <v>304937.36000000004</v>
      </c>
      <c r="R715" s="11">
        <f>12500+21870.83</f>
        <v>34370.83</v>
      </c>
      <c r="S715" s="11">
        <f t="shared" ref="S715:AB715" si="598">12500+21870.83</f>
        <v>34370.83</v>
      </c>
      <c r="T715" s="11">
        <f t="shared" si="598"/>
        <v>34370.83</v>
      </c>
      <c r="U715" s="11">
        <f t="shared" si="598"/>
        <v>34370.83</v>
      </c>
      <c r="V715" s="11">
        <f t="shared" si="598"/>
        <v>34370.83</v>
      </c>
      <c r="W715" s="11">
        <f>12500+21870.85</f>
        <v>34370.85</v>
      </c>
      <c r="X715" s="11">
        <f t="shared" si="598"/>
        <v>34370.83</v>
      </c>
      <c r="Y715" s="11">
        <f t="shared" si="598"/>
        <v>34370.83</v>
      </c>
      <c r="Z715" s="11">
        <f t="shared" si="598"/>
        <v>34370.83</v>
      </c>
      <c r="AA715" s="11">
        <f t="shared" si="598"/>
        <v>34370.83</v>
      </c>
      <c r="AB715" s="11">
        <f t="shared" si="598"/>
        <v>34370.83</v>
      </c>
      <c r="AC715" s="11">
        <f>12500+21870.85</f>
        <v>34370.85</v>
      </c>
      <c r="AD715" s="12">
        <f>SUM(R715:AC715)</f>
        <v>412450.00000000006</v>
      </c>
      <c r="AE715" s="12">
        <f>12500+21600</f>
        <v>34100</v>
      </c>
      <c r="AF715" s="12">
        <f t="shared" ref="AF715:AP715" si="599">12500+21600</f>
        <v>34100</v>
      </c>
      <c r="AG715" s="12">
        <f t="shared" si="599"/>
        <v>34100</v>
      </c>
      <c r="AH715" s="12">
        <f t="shared" si="599"/>
        <v>34100</v>
      </c>
      <c r="AI715" s="12">
        <f t="shared" si="599"/>
        <v>34100</v>
      </c>
      <c r="AJ715" s="12">
        <f t="shared" si="599"/>
        <v>34100</v>
      </c>
      <c r="AK715" s="12">
        <f t="shared" si="599"/>
        <v>34100</v>
      </c>
      <c r="AL715" s="12">
        <f t="shared" si="599"/>
        <v>34100</v>
      </c>
      <c r="AM715" s="12">
        <f t="shared" si="599"/>
        <v>34100</v>
      </c>
      <c r="AN715" s="12">
        <f t="shared" si="599"/>
        <v>34100</v>
      </c>
      <c r="AO715" s="12">
        <f t="shared" si="599"/>
        <v>34100</v>
      </c>
      <c r="AP715" s="12">
        <f t="shared" si="599"/>
        <v>34100</v>
      </c>
      <c r="AQ715" s="3">
        <f>SUM(AE715:AP715)</f>
        <v>409200</v>
      </c>
      <c r="AR715" s="3">
        <f>12916.67+21100</f>
        <v>34016.67</v>
      </c>
      <c r="AS715" s="3">
        <f>12916.67+21100</f>
        <v>34016.67</v>
      </c>
      <c r="AT715" s="3">
        <f>12916.67+21100</f>
        <v>34016.67</v>
      </c>
      <c r="AU715" s="3">
        <f t="shared" ref="AU715:BB715" si="600">12916.67+21100</f>
        <v>34016.67</v>
      </c>
      <c r="AV715" s="3">
        <f t="shared" si="600"/>
        <v>34016.67</v>
      </c>
      <c r="AW715" s="3">
        <f t="shared" si="600"/>
        <v>34016.67</v>
      </c>
      <c r="AX715" s="3">
        <f t="shared" si="600"/>
        <v>34016.67</v>
      </c>
      <c r="AY715" s="3">
        <f t="shared" si="600"/>
        <v>34016.67</v>
      </c>
      <c r="AZ715" s="3">
        <f t="shared" si="600"/>
        <v>34016.67</v>
      </c>
      <c r="BA715" s="3">
        <f t="shared" si="600"/>
        <v>34016.67</v>
      </c>
      <c r="BB715" s="3">
        <f t="shared" si="600"/>
        <v>34016.67</v>
      </c>
      <c r="BC715" s="3">
        <f>12916.63+21100</f>
        <v>34016.629999999997</v>
      </c>
      <c r="BD715" s="3">
        <f>SUM(AR715:BC715)</f>
        <v>408199.99999999988</v>
      </c>
    </row>
    <row r="716" spans="1:56" ht="13.5" thickBot="1" x14ac:dyDescent="0.35">
      <c r="D716" s="13" t="s">
        <v>103</v>
      </c>
      <c r="E716" s="14">
        <f t="shared" ref="E716:AC716" si="601">SUM(E713:E715)</f>
        <v>0</v>
      </c>
      <c r="F716" s="14">
        <f t="shared" si="601"/>
        <v>0</v>
      </c>
      <c r="G716" s="14">
        <f t="shared" si="601"/>
        <v>0</v>
      </c>
      <c r="H716" s="14">
        <f t="shared" si="601"/>
        <v>34052.590000000004</v>
      </c>
      <c r="I716" s="14">
        <f t="shared" si="601"/>
        <v>33865.090000000004</v>
      </c>
      <c r="J716" s="14">
        <f t="shared" si="601"/>
        <v>33865.08</v>
      </c>
      <c r="K716" s="14">
        <f t="shared" si="601"/>
        <v>34842.22</v>
      </c>
      <c r="L716" s="14">
        <f t="shared" si="601"/>
        <v>34842.22</v>
      </c>
      <c r="M716" s="14">
        <f t="shared" si="601"/>
        <v>34842.22</v>
      </c>
      <c r="N716" s="14">
        <f t="shared" si="601"/>
        <v>34842.22</v>
      </c>
      <c r="O716" s="14">
        <f t="shared" si="601"/>
        <v>34842.22</v>
      </c>
      <c r="P716" s="14">
        <f t="shared" si="601"/>
        <v>34842.22</v>
      </c>
      <c r="Q716" s="14">
        <f t="shared" si="601"/>
        <v>310836.08</v>
      </c>
      <c r="R716" s="14">
        <f t="shared" si="601"/>
        <v>35255.410000000003</v>
      </c>
      <c r="S716" s="14">
        <f t="shared" si="601"/>
        <v>35005.410000000003</v>
      </c>
      <c r="T716" s="14">
        <f t="shared" si="601"/>
        <v>35005.410000000003</v>
      </c>
      <c r="U716" s="14">
        <f t="shared" si="601"/>
        <v>34996.25</v>
      </c>
      <c r="V716" s="14">
        <f t="shared" si="601"/>
        <v>34996.25</v>
      </c>
      <c r="W716" s="14">
        <f t="shared" si="601"/>
        <v>34996.269999999997</v>
      </c>
      <c r="X716" s="14">
        <f t="shared" si="601"/>
        <v>34996.25</v>
      </c>
      <c r="Y716" s="14">
        <f t="shared" si="601"/>
        <v>34996.25</v>
      </c>
      <c r="Z716" s="14">
        <f t="shared" si="601"/>
        <v>34996.25</v>
      </c>
      <c r="AA716" s="14">
        <f t="shared" si="601"/>
        <v>34996.25</v>
      </c>
      <c r="AB716" s="14">
        <f t="shared" si="601"/>
        <v>34996.25</v>
      </c>
      <c r="AC716" s="14">
        <f t="shared" si="601"/>
        <v>34996.269999999997</v>
      </c>
      <c r="AD716" s="14">
        <f>SUM(AD713:AD715)</f>
        <v>420232.52000000008</v>
      </c>
      <c r="AE716" s="14">
        <f>SUM(AE713:AE715)</f>
        <v>34975.42</v>
      </c>
      <c r="AF716" s="14">
        <f>SUM(AF713:AF715)</f>
        <v>34725.42</v>
      </c>
      <c r="AG716" s="14">
        <f t="shared" ref="AG716:AP716" si="602">SUM(AG713:AG715)</f>
        <v>34725.42</v>
      </c>
      <c r="AH716" s="14">
        <f t="shared" si="602"/>
        <v>34712.92</v>
      </c>
      <c r="AI716" s="14">
        <f t="shared" si="602"/>
        <v>34712.92</v>
      </c>
      <c r="AJ716" s="14">
        <f t="shared" si="602"/>
        <v>34712.92</v>
      </c>
      <c r="AK716" s="14">
        <f t="shared" si="602"/>
        <v>34712.92</v>
      </c>
      <c r="AL716" s="14">
        <f t="shared" si="602"/>
        <v>34712.92</v>
      </c>
      <c r="AM716" s="14">
        <f t="shared" si="602"/>
        <v>34712.92</v>
      </c>
      <c r="AN716" s="14">
        <f t="shared" si="602"/>
        <v>34712.92</v>
      </c>
      <c r="AO716" s="14">
        <f t="shared" si="602"/>
        <v>34712.92</v>
      </c>
      <c r="AP716" s="14">
        <f t="shared" si="602"/>
        <v>34712.92</v>
      </c>
      <c r="AQ716" s="22">
        <f>SUM(AQ713:AQ715)</f>
        <v>416842.54</v>
      </c>
      <c r="AR716" s="22">
        <f t="shared" ref="AR716:BD716" si="603">SUM(AR713:AR715)</f>
        <v>34879.589999999997</v>
      </c>
      <c r="AS716" s="22">
        <f t="shared" si="603"/>
        <v>34629.589999999997</v>
      </c>
      <c r="AT716" s="22">
        <f t="shared" si="603"/>
        <v>34629.589999999997</v>
      </c>
      <c r="AU716" s="22">
        <f t="shared" si="603"/>
        <v>34617.089999999997</v>
      </c>
      <c r="AV716" s="22">
        <f t="shared" si="603"/>
        <v>34617.089999999997</v>
      </c>
      <c r="AW716" s="22">
        <f t="shared" si="603"/>
        <v>34617.089999999997</v>
      </c>
      <c r="AX716" s="22">
        <f t="shared" si="603"/>
        <v>34617.089999999997</v>
      </c>
      <c r="AY716" s="22">
        <f t="shared" si="603"/>
        <v>34617.089999999997</v>
      </c>
      <c r="AZ716" s="22">
        <f t="shared" si="603"/>
        <v>34617.089999999997</v>
      </c>
      <c r="BA716" s="22">
        <f t="shared" si="603"/>
        <v>34617.089999999997</v>
      </c>
      <c r="BB716" s="22">
        <f t="shared" si="603"/>
        <v>34617.089999999997</v>
      </c>
      <c r="BC716" s="22">
        <f t="shared" si="603"/>
        <v>34617.049999999996</v>
      </c>
      <c r="BD716" s="22">
        <f t="shared" si="603"/>
        <v>415692.53999999986</v>
      </c>
    </row>
    <row r="717" spans="1:56" x14ac:dyDescent="0.3">
      <c r="D717" s="15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</row>
    <row r="718" spans="1:56" ht="15.5" x14ac:dyDescent="0.35">
      <c r="B718" s="20">
        <f>+B712+1</f>
        <v>87</v>
      </c>
      <c r="C718" s="1" t="s">
        <v>14</v>
      </c>
      <c r="D718" s="25" t="s">
        <v>346</v>
      </c>
    </row>
    <row r="719" spans="1:56" x14ac:dyDescent="0.3">
      <c r="D719" s="8" t="s">
        <v>8</v>
      </c>
      <c r="E719" s="12">
        <v>0</v>
      </c>
      <c r="F719" s="12">
        <v>0</v>
      </c>
      <c r="G719" s="12">
        <v>0</v>
      </c>
      <c r="H719" s="12">
        <v>0</v>
      </c>
      <c r="I719" s="12">
        <v>2665</v>
      </c>
      <c r="J719" s="12">
        <v>2665</v>
      </c>
      <c r="K719" s="12">
        <v>2665</v>
      </c>
      <c r="L719" s="12">
        <v>2665</v>
      </c>
      <c r="M719" s="12">
        <v>2665</v>
      </c>
      <c r="N719" s="12">
        <v>2665</v>
      </c>
      <c r="O719" s="12">
        <v>2665</v>
      </c>
      <c r="P719" s="12">
        <v>2665</v>
      </c>
      <c r="Q719" s="12">
        <f>SUM(E719:P719)</f>
        <v>21320</v>
      </c>
      <c r="R719" s="12">
        <v>2665</v>
      </c>
      <c r="S719" s="12">
        <v>2665</v>
      </c>
      <c r="T719" s="12">
        <v>2665</v>
      </c>
      <c r="U719" s="12">
        <v>2436.67</v>
      </c>
      <c r="V719" s="12">
        <v>2436.67</v>
      </c>
      <c r="W719" s="12">
        <v>2436.67</v>
      </c>
      <c r="X719" s="12">
        <v>2436.67</v>
      </c>
      <c r="Y719" s="12">
        <v>2436.67</v>
      </c>
      <c r="Z719" s="12">
        <v>2436.67</v>
      </c>
      <c r="AA719" s="12">
        <v>2436.67</v>
      </c>
      <c r="AB719" s="12">
        <v>2436.67</v>
      </c>
      <c r="AC719" s="12">
        <v>2436.67</v>
      </c>
      <c r="AD719" s="12">
        <f>SUM(R719:AC719)</f>
        <v>29925.029999999992</v>
      </c>
      <c r="AE719" s="12">
        <v>2436.67</v>
      </c>
      <c r="AF719" s="12">
        <v>2436.67</v>
      </c>
      <c r="AG719" s="12">
        <v>2436.67</v>
      </c>
      <c r="AH719" s="12">
        <v>2372.08</v>
      </c>
      <c r="AI719" s="12">
        <v>2372.08</v>
      </c>
      <c r="AJ719" s="12">
        <v>2372.08</v>
      </c>
      <c r="AK719" s="12">
        <v>2372.08</v>
      </c>
      <c r="AL719" s="12">
        <v>2372.08</v>
      </c>
      <c r="AM719" s="12">
        <v>2372.08</v>
      </c>
      <c r="AN719" s="12">
        <v>2372.08</v>
      </c>
      <c r="AO719" s="12">
        <v>2372.08</v>
      </c>
      <c r="AP719" s="12">
        <v>2372.08</v>
      </c>
      <c r="AQ719" s="3">
        <f>SUM(AE719:AP719)</f>
        <v>28658.73000000001</v>
      </c>
      <c r="AR719" s="3">
        <v>2372.08</v>
      </c>
      <c r="AS719" s="3">
        <v>2372.08</v>
      </c>
      <c r="AT719" s="3">
        <v>2372.08</v>
      </c>
      <c r="AU719" s="3">
        <v>2305.42</v>
      </c>
      <c r="AV719" s="3">
        <v>2305.42</v>
      </c>
      <c r="AW719" s="3">
        <v>2305.42</v>
      </c>
      <c r="AX719" s="3">
        <v>2305.42</v>
      </c>
      <c r="AY719" s="3">
        <v>2305.42</v>
      </c>
      <c r="AZ719" s="3">
        <v>2305.42</v>
      </c>
      <c r="BA719" s="3">
        <v>2305.42</v>
      </c>
      <c r="BB719" s="3">
        <v>2305.42</v>
      </c>
      <c r="BC719" s="3">
        <v>2305.42</v>
      </c>
      <c r="BD719" s="3">
        <f>SUM(AR719:BC719)</f>
        <v>27865.019999999997</v>
      </c>
    </row>
    <row r="720" spans="1:56" x14ac:dyDescent="0.3">
      <c r="D720" s="8" t="s">
        <v>9</v>
      </c>
      <c r="E720" s="11"/>
      <c r="F720" s="11"/>
      <c r="I720" s="11">
        <v>166.67</v>
      </c>
      <c r="Q720" s="12">
        <f>SUM(E720:P720)</f>
        <v>166.67</v>
      </c>
      <c r="R720" s="11">
        <v>250</v>
      </c>
      <c r="AD720" s="12">
        <f>SUM(R720:AC720)</f>
        <v>250</v>
      </c>
      <c r="AE720" s="11">
        <v>250</v>
      </c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3">
        <f>SUM(AE720:AP720)</f>
        <v>250</v>
      </c>
      <c r="AR720" s="3">
        <v>250</v>
      </c>
      <c r="AS720" s="3">
        <v>0</v>
      </c>
      <c r="AT720" s="3">
        <v>0</v>
      </c>
      <c r="AU720" s="3">
        <v>0</v>
      </c>
      <c r="AV720" s="3">
        <v>0</v>
      </c>
      <c r="AW720" s="3">
        <v>0</v>
      </c>
      <c r="AX720" s="3">
        <v>0</v>
      </c>
      <c r="AY720" s="3">
        <v>0</v>
      </c>
      <c r="AZ720" s="3">
        <v>0</v>
      </c>
      <c r="BA720" s="3">
        <v>0</v>
      </c>
      <c r="BB720" s="3">
        <v>0</v>
      </c>
      <c r="BC720" s="3">
        <v>0</v>
      </c>
      <c r="BD720" s="3">
        <f>SUM(AR720:BC720)</f>
        <v>250</v>
      </c>
    </row>
    <row r="721" spans="1:56" ht="13.5" thickBot="1" x14ac:dyDescent="0.35">
      <c r="A721" t="s">
        <v>347</v>
      </c>
      <c r="D721" s="8" t="s">
        <v>10</v>
      </c>
      <c r="E721" s="12">
        <v>0</v>
      </c>
      <c r="F721" s="12">
        <v>0</v>
      </c>
      <c r="G721" s="12">
        <v>0</v>
      </c>
      <c r="H721" s="12">
        <v>0</v>
      </c>
      <c r="I721" s="12">
        <f>75000+189274.05</f>
        <v>264274.05</v>
      </c>
      <c r="J721" s="12">
        <f>64583.33+80951.88</f>
        <v>145535.21000000002</v>
      </c>
      <c r="K721" s="12">
        <f t="shared" ref="K721:V721" si="604">64583.33+80951.88</f>
        <v>145535.21000000002</v>
      </c>
      <c r="L721" s="12">
        <f t="shared" si="604"/>
        <v>145535.21000000002</v>
      </c>
      <c r="M721" s="12">
        <f t="shared" si="604"/>
        <v>145535.21000000002</v>
      </c>
      <c r="N721" s="12">
        <f t="shared" si="604"/>
        <v>145535.21000000002</v>
      </c>
      <c r="O721" s="12">
        <f t="shared" si="604"/>
        <v>145535.21000000002</v>
      </c>
      <c r="P721" s="12">
        <f t="shared" si="604"/>
        <v>145535.21000000002</v>
      </c>
      <c r="Q721" s="12">
        <f>SUM(E721:P721)</f>
        <v>1283020.5199999998</v>
      </c>
      <c r="R721" s="12">
        <f t="shared" si="604"/>
        <v>145535.21000000002</v>
      </c>
      <c r="S721" s="12">
        <f t="shared" si="604"/>
        <v>145535.21000000002</v>
      </c>
      <c r="T721" s="12">
        <f t="shared" si="604"/>
        <v>145535.21000000002</v>
      </c>
      <c r="U721" s="12">
        <f t="shared" si="604"/>
        <v>145535.21000000002</v>
      </c>
      <c r="V721" s="12">
        <f t="shared" si="604"/>
        <v>145535.21000000002</v>
      </c>
      <c r="W721" s="12">
        <f>66666.67+78965.24</f>
        <v>145631.91</v>
      </c>
      <c r="X721" s="12">
        <f t="shared" ref="X721:AI721" si="605">66666.67+78965.24</f>
        <v>145631.91</v>
      </c>
      <c r="Y721" s="12">
        <f t="shared" si="605"/>
        <v>145631.91</v>
      </c>
      <c r="Z721" s="12">
        <f t="shared" si="605"/>
        <v>145631.91</v>
      </c>
      <c r="AA721" s="12">
        <f t="shared" si="605"/>
        <v>145631.91</v>
      </c>
      <c r="AB721" s="12">
        <f t="shared" si="605"/>
        <v>145631.91</v>
      </c>
      <c r="AC721" s="12">
        <f t="shared" si="605"/>
        <v>145631.91</v>
      </c>
      <c r="AD721" s="12">
        <f>SUM(R721:AC721)</f>
        <v>1747099.4199999997</v>
      </c>
      <c r="AE721" s="12">
        <f t="shared" si="605"/>
        <v>145631.91</v>
      </c>
      <c r="AF721" s="12">
        <f t="shared" si="605"/>
        <v>145631.91</v>
      </c>
      <c r="AG721" s="12">
        <f t="shared" si="605"/>
        <v>145631.91</v>
      </c>
      <c r="AH721" s="12">
        <f t="shared" si="605"/>
        <v>145631.91</v>
      </c>
      <c r="AI721" s="12">
        <f t="shared" si="605"/>
        <v>145631.91</v>
      </c>
      <c r="AJ721" s="12">
        <f>68750+76912.16</f>
        <v>145662.16</v>
      </c>
      <c r="AK721" s="12">
        <f t="shared" ref="AK721:AP721" si="606">68750+76912.16</f>
        <v>145662.16</v>
      </c>
      <c r="AL721" s="12">
        <f t="shared" si="606"/>
        <v>145662.16</v>
      </c>
      <c r="AM721" s="12">
        <f t="shared" si="606"/>
        <v>145662.16</v>
      </c>
      <c r="AN721" s="12">
        <f t="shared" si="606"/>
        <v>145662.16</v>
      </c>
      <c r="AO721" s="12">
        <f t="shared" si="606"/>
        <v>145662.16</v>
      </c>
      <c r="AP721" s="12">
        <f t="shared" si="606"/>
        <v>145662.16</v>
      </c>
      <c r="AQ721" s="3">
        <f>SUM(AE721:AP721)</f>
        <v>1747794.6699999997</v>
      </c>
      <c r="AR721" s="3">
        <f>68750+76912.16</f>
        <v>145662.16</v>
      </c>
      <c r="AS721" s="3">
        <f t="shared" ref="AS721:AV721" si="607">68750+76912.16</f>
        <v>145662.16</v>
      </c>
      <c r="AT721" s="3">
        <f t="shared" si="607"/>
        <v>145662.16</v>
      </c>
      <c r="AU721" s="3">
        <f t="shared" si="607"/>
        <v>145662.16</v>
      </c>
      <c r="AV721" s="3">
        <f t="shared" si="607"/>
        <v>145662.16</v>
      </c>
      <c r="AW721" s="3">
        <f>70833.33+74792.62</f>
        <v>145625.95000000001</v>
      </c>
      <c r="AX721" s="3">
        <f t="shared" ref="AX721:BC721" si="608">70833.33+74792.62</f>
        <v>145625.95000000001</v>
      </c>
      <c r="AY721" s="3">
        <f t="shared" si="608"/>
        <v>145625.95000000001</v>
      </c>
      <c r="AZ721" s="3">
        <f t="shared" si="608"/>
        <v>145625.95000000001</v>
      </c>
      <c r="BA721" s="3">
        <f t="shared" si="608"/>
        <v>145625.95000000001</v>
      </c>
      <c r="BB721" s="3">
        <f t="shared" si="608"/>
        <v>145625.95000000001</v>
      </c>
      <c r="BC721" s="3">
        <f t="shared" si="608"/>
        <v>145625.95000000001</v>
      </c>
      <c r="BD721" s="3">
        <f>SUM(AR721:BC721)</f>
        <v>1747692.4499999997</v>
      </c>
    </row>
    <row r="722" spans="1:56" ht="13.5" thickBot="1" x14ac:dyDescent="0.35">
      <c r="D722" s="13" t="s">
        <v>132</v>
      </c>
      <c r="E722" s="14">
        <f t="shared" ref="E722:AC722" si="609">SUM(E719:E721)</f>
        <v>0</v>
      </c>
      <c r="F722" s="14">
        <f t="shared" si="609"/>
        <v>0</v>
      </c>
      <c r="G722" s="14">
        <f t="shared" si="609"/>
        <v>0</v>
      </c>
      <c r="H722" s="14">
        <f t="shared" si="609"/>
        <v>0</v>
      </c>
      <c r="I722" s="14">
        <f t="shared" si="609"/>
        <v>267105.71999999997</v>
      </c>
      <c r="J722" s="14">
        <f t="shared" si="609"/>
        <v>148200.21000000002</v>
      </c>
      <c r="K722" s="14">
        <f t="shared" si="609"/>
        <v>148200.21000000002</v>
      </c>
      <c r="L722" s="14">
        <f t="shared" si="609"/>
        <v>148200.21000000002</v>
      </c>
      <c r="M722" s="14">
        <f t="shared" si="609"/>
        <v>148200.21000000002</v>
      </c>
      <c r="N722" s="14">
        <f t="shared" si="609"/>
        <v>148200.21000000002</v>
      </c>
      <c r="O722" s="14">
        <f t="shared" si="609"/>
        <v>148200.21000000002</v>
      </c>
      <c r="P722" s="14">
        <f t="shared" si="609"/>
        <v>148200.21000000002</v>
      </c>
      <c r="Q722" s="14">
        <f t="shared" si="609"/>
        <v>1304507.1899999997</v>
      </c>
      <c r="R722" s="14">
        <f t="shared" si="609"/>
        <v>148450.21000000002</v>
      </c>
      <c r="S722" s="14">
        <f t="shared" si="609"/>
        <v>148200.21000000002</v>
      </c>
      <c r="T722" s="14">
        <f t="shared" si="609"/>
        <v>148200.21000000002</v>
      </c>
      <c r="U722" s="14">
        <f t="shared" si="609"/>
        <v>147971.88000000003</v>
      </c>
      <c r="V722" s="14">
        <f t="shared" si="609"/>
        <v>147971.88000000003</v>
      </c>
      <c r="W722" s="14">
        <f t="shared" si="609"/>
        <v>148068.58000000002</v>
      </c>
      <c r="X722" s="14">
        <f t="shared" si="609"/>
        <v>148068.58000000002</v>
      </c>
      <c r="Y722" s="14">
        <f t="shared" si="609"/>
        <v>148068.58000000002</v>
      </c>
      <c r="Z722" s="14">
        <f t="shared" si="609"/>
        <v>148068.58000000002</v>
      </c>
      <c r="AA722" s="14">
        <f t="shared" si="609"/>
        <v>148068.58000000002</v>
      </c>
      <c r="AB722" s="14">
        <f t="shared" si="609"/>
        <v>148068.58000000002</v>
      </c>
      <c r="AC722" s="14">
        <f t="shared" si="609"/>
        <v>148068.58000000002</v>
      </c>
      <c r="AD722" s="14">
        <f>SUM(AD719:AD721)</f>
        <v>1777274.4499999997</v>
      </c>
      <c r="AE722" s="14">
        <f>SUM(AE719:AE721)</f>
        <v>148318.58000000002</v>
      </c>
      <c r="AF722" s="14">
        <f>SUM(AF719:AF721)</f>
        <v>148068.58000000002</v>
      </c>
      <c r="AG722" s="14">
        <f t="shared" ref="AG722:AP722" si="610">SUM(AG719:AG721)</f>
        <v>148068.58000000002</v>
      </c>
      <c r="AH722" s="14">
        <f t="shared" si="610"/>
        <v>148003.99</v>
      </c>
      <c r="AI722" s="14">
        <f t="shared" si="610"/>
        <v>148003.99</v>
      </c>
      <c r="AJ722" s="14">
        <f t="shared" si="610"/>
        <v>148034.23999999999</v>
      </c>
      <c r="AK722" s="14">
        <f t="shared" si="610"/>
        <v>148034.23999999999</v>
      </c>
      <c r="AL722" s="14">
        <f t="shared" si="610"/>
        <v>148034.23999999999</v>
      </c>
      <c r="AM722" s="14">
        <f t="shared" si="610"/>
        <v>148034.23999999999</v>
      </c>
      <c r="AN722" s="14">
        <f t="shared" si="610"/>
        <v>148034.23999999999</v>
      </c>
      <c r="AO722" s="14">
        <f t="shared" si="610"/>
        <v>148034.23999999999</v>
      </c>
      <c r="AP722" s="14">
        <f t="shared" si="610"/>
        <v>148034.23999999999</v>
      </c>
      <c r="AQ722" s="22">
        <f>SUM(AQ719:AQ721)</f>
        <v>1776703.3999999997</v>
      </c>
      <c r="AR722" s="22">
        <f t="shared" ref="AR722:BD722" si="611">SUM(AR719:AR721)</f>
        <v>148284.24</v>
      </c>
      <c r="AS722" s="22">
        <f t="shared" si="611"/>
        <v>148034.23999999999</v>
      </c>
      <c r="AT722" s="22">
        <f t="shared" si="611"/>
        <v>148034.23999999999</v>
      </c>
      <c r="AU722" s="22">
        <f t="shared" si="611"/>
        <v>147967.58000000002</v>
      </c>
      <c r="AV722" s="22">
        <f t="shared" si="611"/>
        <v>147967.58000000002</v>
      </c>
      <c r="AW722" s="22">
        <f t="shared" si="611"/>
        <v>147931.37000000002</v>
      </c>
      <c r="AX722" s="22">
        <f t="shared" si="611"/>
        <v>147931.37000000002</v>
      </c>
      <c r="AY722" s="22">
        <f t="shared" si="611"/>
        <v>147931.37000000002</v>
      </c>
      <c r="AZ722" s="22">
        <f t="shared" si="611"/>
        <v>147931.37000000002</v>
      </c>
      <c r="BA722" s="22">
        <f t="shared" si="611"/>
        <v>147931.37000000002</v>
      </c>
      <c r="BB722" s="22">
        <f t="shared" si="611"/>
        <v>147931.37000000002</v>
      </c>
      <c r="BC722" s="22">
        <f t="shared" si="611"/>
        <v>147931.37000000002</v>
      </c>
      <c r="BD722" s="22">
        <f t="shared" si="611"/>
        <v>1775807.4699999997</v>
      </c>
    </row>
    <row r="723" spans="1:56" x14ac:dyDescent="0.3">
      <c r="D723" s="15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</row>
    <row r="724" spans="1:56" ht="15.5" x14ac:dyDescent="0.35">
      <c r="B724" s="20">
        <f>+B718+1</f>
        <v>88</v>
      </c>
      <c r="C724" s="1" t="s">
        <v>14</v>
      </c>
      <c r="D724" s="25" t="s">
        <v>348</v>
      </c>
    </row>
    <row r="725" spans="1:56" x14ac:dyDescent="0.3">
      <c r="D725" s="8" t="s">
        <v>8</v>
      </c>
      <c r="E725" s="12">
        <v>0</v>
      </c>
      <c r="F725" s="12">
        <v>0</v>
      </c>
      <c r="G725" s="12">
        <v>0</v>
      </c>
      <c r="H725" s="12">
        <v>0</v>
      </c>
      <c r="I725" s="12">
        <v>1491.5</v>
      </c>
      <c r="J725" s="12">
        <v>1491.5</v>
      </c>
      <c r="K725" s="12">
        <v>1491.5</v>
      </c>
      <c r="L725" s="12">
        <v>1491.5</v>
      </c>
      <c r="M725" s="12">
        <v>1491.5</v>
      </c>
      <c r="N725" s="12">
        <v>1491.5</v>
      </c>
      <c r="O725" s="12">
        <v>1491.5</v>
      </c>
      <c r="P725" s="12">
        <v>1491.5</v>
      </c>
      <c r="Q725" s="12">
        <f>SUM(E725:P725)</f>
        <v>11932</v>
      </c>
      <c r="R725" s="12">
        <v>1491.5</v>
      </c>
      <c r="S725" s="12">
        <v>1491.5</v>
      </c>
      <c r="T725" s="12">
        <v>1211.25</v>
      </c>
      <c r="U725" s="12">
        <v>1211.25</v>
      </c>
      <c r="V725" s="12">
        <v>1211.25</v>
      </c>
      <c r="W725" s="12">
        <v>1211.25</v>
      </c>
      <c r="X725" s="12">
        <v>1211.25</v>
      </c>
      <c r="Y725" s="12">
        <v>1211.25</v>
      </c>
      <c r="Z725" s="12">
        <v>1211.25</v>
      </c>
      <c r="AA725" s="12">
        <v>1211.25</v>
      </c>
      <c r="AB725" s="12">
        <v>1211.25</v>
      </c>
      <c r="AC725" s="12">
        <v>1211.25</v>
      </c>
      <c r="AD725" s="12">
        <f>SUM(R725:AC725)</f>
        <v>15095.5</v>
      </c>
      <c r="AE725" s="12">
        <v>1211.25</v>
      </c>
      <c r="AF725" s="12">
        <v>1211.25</v>
      </c>
      <c r="AG725" s="12">
        <v>1178.3399999999999</v>
      </c>
      <c r="AH725" s="12">
        <v>1178.3399999999999</v>
      </c>
      <c r="AI725" s="12">
        <v>1178.3399999999999</v>
      </c>
      <c r="AJ725" s="12">
        <v>1178.3399999999999</v>
      </c>
      <c r="AK725" s="12">
        <v>1178.3399999999999</v>
      </c>
      <c r="AL725" s="12">
        <v>1178.3399999999999</v>
      </c>
      <c r="AM725" s="12">
        <v>1178.3399999999999</v>
      </c>
      <c r="AN725" s="12">
        <v>1178.3399999999999</v>
      </c>
      <c r="AO725" s="12">
        <v>1178.3399999999999</v>
      </c>
      <c r="AP725" s="12">
        <v>1178.3399999999999</v>
      </c>
      <c r="AQ725" s="3">
        <f>SUM(AE725:AP725)</f>
        <v>14205.900000000001</v>
      </c>
      <c r="AR725" s="3">
        <v>1178.3399999999999</v>
      </c>
      <c r="AS725" s="3">
        <v>1178.26</v>
      </c>
      <c r="AT725" s="3">
        <v>1144.17</v>
      </c>
      <c r="AU725" s="3">
        <v>1144.17</v>
      </c>
      <c r="AV725" s="3">
        <v>1144.17</v>
      </c>
      <c r="AW725" s="3">
        <v>1144.17</v>
      </c>
      <c r="AX725" s="3">
        <v>1144.17</v>
      </c>
      <c r="AY725" s="3">
        <v>1144.17</v>
      </c>
      <c r="AZ725" s="3">
        <v>1144.17</v>
      </c>
      <c r="BA725" s="3">
        <v>1144.17</v>
      </c>
      <c r="BB725" s="3">
        <v>1144.17</v>
      </c>
      <c r="BC725" s="3">
        <v>1144.17</v>
      </c>
      <c r="BD725" s="3">
        <f>SUM(AR725:BC725)</f>
        <v>13798.300000000001</v>
      </c>
    </row>
    <row r="726" spans="1:56" x14ac:dyDescent="0.3">
      <c r="D726" s="8" t="s">
        <v>9</v>
      </c>
      <c r="E726" s="11"/>
      <c r="F726" s="11"/>
      <c r="I726" s="11">
        <v>166.67</v>
      </c>
      <c r="Q726" s="12">
        <f>SUM(E726:P726)</f>
        <v>166.67</v>
      </c>
      <c r="R726" s="11">
        <v>250</v>
      </c>
      <c r="AD726" s="12">
        <f>SUM(R726:AC726)</f>
        <v>250</v>
      </c>
      <c r="AE726" s="11">
        <v>250</v>
      </c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3">
        <f>SUM(AE726:AP726)</f>
        <v>250</v>
      </c>
      <c r="AR726" s="3">
        <v>250</v>
      </c>
      <c r="AS726" s="3">
        <v>0</v>
      </c>
      <c r="AT726" s="3">
        <v>0</v>
      </c>
      <c r="AU726" s="3">
        <v>0</v>
      </c>
      <c r="AV726" s="3">
        <v>0</v>
      </c>
      <c r="AW726" s="3">
        <v>0</v>
      </c>
      <c r="AX726" s="3">
        <v>0</v>
      </c>
      <c r="AY726" s="3">
        <v>0</v>
      </c>
      <c r="AZ726" s="3">
        <v>0</v>
      </c>
      <c r="BA726" s="3">
        <v>0</v>
      </c>
      <c r="BB726" s="3">
        <v>0</v>
      </c>
      <c r="BC726" s="3">
        <v>0</v>
      </c>
      <c r="BD726" s="3">
        <f>SUM(AR726:BC726)</f>
        <v>250</v>
      </c>
    </row>
    <row r="727" spans="1:56" ht="13.5" thickBot="1" x14ac:dyDescent="0.35">
      <c r="A727" t="s">
        <v>349</v>
      </c>
      <c r="D727" s="8" t="s">
        <v>10</v>
      </c>
      <c r="E727" s="12">
        <v>0</v>
      </c>
      <c r="F727" s="12">
        <v>0</v>
      </c>
      <c r="G727" s="12">
        <v>0</v>
      </c>
      <c r="H727" s="12">
        <v>0</v>
      </c>
      <c r="I727" s="12">
        <f>36500+61968.89</f>
        <v>98468.89</v>
      </c>
      <c r="J727" s="12">
        <f>36500+61968.89</f>
        <v>98468.89</v>
      </c>
      <c r="K727" s="12">
        <f>36500+61968.89</f>
        <v>98468.89</v>
      </c>
      <c r="L727" s="12">
        <f>36500+61968.89</f>
        <v>98468.89</v>
      </c>
      <c r="M727" s="12">
        <f>36500+50933.34</f>
        <v>87433.34</v>
      </c>
      <c r="N727" s="12">
        <f>36500+50933.34</f>
        <v>87433.34</v>
      </c>
      <c r="O727" s="12">
        <f>36500+50933.34</f>
        <v>87433.34</v>
      </c>
      <c r="P727" s="12">
        <f>36500+50933.34</f>
        <v>87433.34</v>
      </c>
      <c r="Q727" s="12">
        <f>SUM(E727:P727)</f>
        <v>743608.91999999993</v>
      </c>
      <c r="R727" s="12">
        <f>36500+50933.34</f>
        <v>87433.34</v>
      </c>
      <c r="S727" s="12">
        <f>36500+50933.3</f>
        <v>87433.3</v>
      </c>
      <c r="T727" s="11">
        <f>31666.67+49716.67</f>
        <v>81383.34</v>
      </c>
      <c r="U727" s="11">
        <f t="shared" ref="U727:AE727" si="612">31666.67+49716.67</f>
        <v>81383.34</v>
      </c>
      <c r="V727" s="11">
        <f t="shared" si="612"/>
        <v>81383.34</v>
      </c>
      <c r="W727" s="11">
        <f t="shared" si="612"/>
        <v>81383.34</v>
      </c>
      <c r="X727" s="11">
        <f t="shared" si="612"/>
        <v>81383.34</v>
      </c>
      <c r="Y727" s="11">
        <f t="shared" si="612"/>
        <v>81383.34</v>
      </c>
      <c r="Z727" s="11">
        <f t="shared" si="612"/>
        <v>81383.34</v>
      </c>
      <c r="AA727" s="11">
        <f t="shared" si="612"/>
        <v>81383.34</v>
      </c>
      <c r="AB727" s="11">
        <f t="shared" si="612"/>
        <v>81383.34</v>
      </c>
      <c r="AC727" s="11">
        <f t="shared" si="612"/>
        <v>81383.34</v>
      </c>
      <c r="AD727" s="12">
        <f>SUM(R727:AC727)</f>
        <v>988700.0399999998</v>
      </c>
      <c r="AE727" s="11">
        <f t="shared" si="612"/>
        <v>81383.34</v>
      </c>
      <c r="AF727" s="11">
        <f>31666.63+49716.63</f>
        <v>81383.259999999995</v>
      </c>
      <c r="AG727" s="12">
        <f>32916.67+48450</f>
        <v>81366.67</v>
      </c>
      <c r="AH727" s="12">
        <f t="shared" ref="AH727:AP727" si="613">32916.67+48450</f>
        <v>81366.67</v>
      </c>
      <c r="AI727" s="12">
        <f t="shared" si="613"/>
        <v>81366.67</v>
      </c>
      <c r="AJ727" s="12">
        <f t="shared" si="613"/>
        <v>81366.67</v>
      </c>
      <c r="AK727" s="12">
        <f t="shared" si="613"/>
        <v>81366.67</v>
      </c>
      <c r="AL727" s="12">
        <f t="shared" si="613"/>
        <v>81366.67</v>
      </c>
      <c r="AM727" s="12">
        <f t="shared" si="613"/>
        <v>81366.67</v>
      </c>
      <c r="AN727" s="12">
        <f t="shared" si="613"/>
        <v>81366.67</v>
      </c>
      <c r="AO727" s="12">
        <f t="shared" si="613"/>
        <v>81366.67</v>
      </c>
      <c r="AP727" s="12">
        <f t="shared" si="613"/>
        <v>81366.67</v>
      </c>
      <c r="AQ727" s="3">
        <f>SUM(AE727:AP727)</f>
        <v>976433.30000000016</v>
      </c>
      <c r="AR727" s="3">
        <f>32916.67+48450</f>
        <v>81366.67</v>
      </c>
      <c r="AS727" s="3">
        <f>32916.63+48450</f>
        <v>81366.63</v>
      </c>
      <c r="AT727" s="3">
        <f>34166.67+47133.34</f>
        <v>81300.009999999995</v>
      </c>
      <c r="AU727" s="3">
        <f t="shared" ref="AU727:BC727" si="614">34166.67+47133.34</f>
        <v>81300.009999999995</v>
      </c>
      <c r="AV727" s="3">
        <f t="shared" si="614"/>
        <v>81300.009999999995</v>
      </c>
      <c r="AW727" s="3">
        <f t="shared" si="614"/>
        <v>81300.009999999995</v>
      </c>
      <c r="AX727" s="3">
        <f t="shared" si="614"/>
        <v>81300.009999999995</v>
      </c>
      <c r="AY727" s="3">
        <f t="shared" si="614"/>
        <v>81300.009999999995</v>
      </c>
      <c r="AZ727" s="3">
        <f t="shared" si="614"/>
        <v>81300.009999999995</v>
      </c>
      <c r="BA727" s="3">
        <f t="shared" si="614"/>
        <v>81300.009999999995</v>
      </c>
      <c r="BB727" s="3">
        <f t="shared" si="614"/>
        <v>81300.009999999995</v>
      </c>
      <c r="BC727" s="3">
        <f t="shared" si="614"/>
        <v>81300.009999999995</v>
      </c>
      <c r="BD727" s="3">
        <f>SUM(AR727:BC727)</f>
        <v>975733.4</v>
      </c>
    </row>
    <row r="728" spans="1:56" ht="13.5" thickBot="1" x14ac:dyDescent="0.35">
      <c r="D728" s="13" t="s">
        <v>129</v>
      </c>
      <c r="E728" s="14">
        <f t="shared" ref="E728:AC728" si="615">SUM(E725:E727)</f>
        <v>0</v>
      </c>
      <c r="F728" s="14">
        <f t="shared" si="615"/>
        <v>0</v>
      </c>
      <c r="G728" s="14">
        <f t="shared" si="615"/>
        <v>0</v>
      </c>
      <c r="H728" s="14">
        <f t="shared" si="615"/>
        <v>0</v>
      </c>
      <c r="I728" s="14">
        <f t="shared" si="615"/>
        <v>100127.06</v>
      </c>
      <c r="J728" s="14">
        <f t="shared" si="615"/>
        <v>99960.39</v>
      </c>
      <c r="K728" s="14">
        <f t="shared" si="615"/>
        <v>99960.39</v>
      </c>
      <c r="L728" s="14">
        <f t="shared" si="615"/>
        <v>99960.39</v>
      </c>
      <c r="M728" s="14">
        <f t="shared" si="615"/>
        <v>88924.84</v>
      </c>
      <c r="N728" s="14">
        <f t="shared" si="615"/>
        <v>88924.84</v>
      </c>
      <c r="O728" s="14">
        <f t="shared" si="615"/>
        <v>88924.84</v>
      </c>
      <c r="P728" s="14">
        <f t="shared" si="615"/>
        <v>88924.84</v>
      </c>
      <c r="Q728" s="14">
        <f t="shared" si="615"/>
        <v>755707.59</v>
      </c>
      <c r="R728" s="14">
        <f t="shared" si="615"/>
        <v>89174.84</v>
      </c>
      <c r="S728" s="14">
        <f t="shared" si="615"/>
        <v>88924.800000000003</v>
      </c>
      <c r="T728" s="14">
        <f t="shared" si="615"/>
        <v>82594.59</v>
      </c>
      <c r="U728" s="14">
        <f t="shared" si="615"/>
        <v>82594.59</v>
      </c>
      <c r="V728" s="14">
        <f t="shared" si="615"/>
        <v>82594.59</v>
      </c>
      <c r="W728" s="14">
        <f t="shared" si="615"/>
        <v>82594.59</v>
      </c>
      <c r="X728" s="14">
        <f t="shared" si="615"/>
        <v>82594.59</v>
      </c>
      <c r="Y728" s="14">
        <f t="shared" si="615"/>
        <v>82594.59</v>
      </c>
      <c r="Z728" s="14">
        <f t="shared" si="615"/>
        <v>82594.59</v>
      </c>
      <c r="AA728" s="14">
        <f t="shared" si="615"/>
        <v>82594.59</v>
      </c>
      <c r="AB728" s="14">
        <f t="shared" si="615"/>
        <v>82594.59</v>
      </c>
      <c r="AC728" s="14">
        <f t="shared" si="615"/>
        <v>82594.59</v>
      </c>
      <c r="AD728" s="14">
        <f>SUM(AD725:AD727)</f>
        <v>1004045.5399999998</v>
      </c>
      <c r="AE728" s="14">
        <f>SUM(AE725:AE727)</f>
        <v>82844.59</v>
      </c>
      <c r="AF728" s="14">
        <f>SUM(AF725:AF727)</f>
        <v>82594.509999999995</v>
      </c>
      <c r="AG728" s="14">
        <f t="shared" ref="AG728:AP728" si="616">SUM(AG725:AG727)</f>
        <v>82545.009999999995</v>
      </c>
      <c r="AH728" s="14">
        <f t="shared" si="616"/>
        <v>82545.009999999995</v>
      </c>
      <c r="AI728" s="14">
        <f t="shared" si="616"/>
        <v>82545.009999999995</v>
      </c>
      <c r="AJ728" s="14">
        <f t="shared" si="616"/>
        <v>82545.009999999995</v>
      </c>
      <c r="AK728" s="14">
        <f t="shared" si="616"/>
        <v>82545.009999999995</v>
      </c>
      <c r="AL728" s="14">
        <f t="shared" si="616"/>
        <v>82545.009999999995</v>
      </c>
      <c r="AM728" s="14">
        <f t="shared" si="616"/>
        <v>82545.009999999995</v>
      </c>
      <c r="AN728" s="14">
        <f t="shared" si="616"/>
        <v>82545.009999999995</v>
      </c>
      <c r="AO728" s="14">
        <f t="shared" si="616"/>
        <v>82545.009999999995</v>
      </c>
      <c r="AP728" s="14">
        <f t="shared" si="616"/>
        <v>82545.009999999995</v>
      </c>
      <c r="AQ728" s="22">
        <f>SUM(AQ725:AQ727)</f>
        <v>990889.20000000019</v>
      </c>
      <c r="AR728" s="22">
        <f t="shared" ref="AR728:BD728" si="617">SUM(AR725:AR727)</f>
        <v>82795.009999999995</v>
      </c>
      <c r="AS728" s="22">
        <f t="shared" si="617"/>
        <v>82544.89</v>
      </c>
      <c r="AT728" s="22">
        <f t="shared" si="617"/>
        <v>82444.179999999993</v>
      </c>
      <c r="AU728" s="22">
        <f t="shared" si="617"/>
        <v>82444.179999999993</v>
      </c>
      <c r="AV728" s="22">
        <f t="shared" si="617"/>
        <v>82444.179999999993</v>
      </c>
      <c r="AW728" s="22">
        <f t="shared" si="617"/>
        <v>82444.179999999993</v>
      </c>
      <c r="AX728" s="22">
        <f t="shared" si="617"/>
        <v>82444.179999999993</v>
      </c>
      <c r="AY728" s="22">
        <f t="shared" si="617"/>
        <v>82444.179999999993</v>
      </c>
      <c r="AZ728" s="22">
        <f t="shared" si="617"/>
        <v>82444.179999999993</v>
      </c>
      <c r="BA728" s="22">
        <f t="shared" si="617"/>
        <v>82444.179999999993</v>
      </c>
      <c r="BB728" s="22">
        <f t="shared" si="617"/>
        <v>82444.179999999993</v>
      </c>
      <c r="BC728" s="22">
        <f t="shared" si="617"/>
        <v>82444.179999999993</v>
      </c>
      <c r="BD728" s="22">
        <f t="shared" si="617"/>
        <v>989781.70000000007</v>
      </c>
    </row>
    <row r="729" spans="1:56" x14ac:dyDescent="0.3">
      <c r="D729" s="15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</row>
    <row r="730" spans="1:56" ht="15.5" x14ac:dyDescent="0.35">
      <c r="B730" s="20">
        <f>+B724+1</f>
        <v>89</v>
      </c>
      <c r="C730" s="1" t="s">
        <v>14</v>
      </c>
      <c r="D730" s="25" t="s">
        <v>350</v>
      </c>
    </row>
    <row r="731" spans="1:56" x14ac:dyDescent="0.3">
      <c r="D731" s="8" t="s">
        <v>8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f>SUM(E731:P731)</f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f>SUM(R731:AC731)</f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0</v>
      </c>
      <c r="AK731" s="12">
        <v>0</v>
      </c>
      <c r="AL731" s="12">
        <v>0</v>
      </c>
      <c r="AM731" s="12">
        <v>0</v>
      </c>
      <c r="AN731" s="12">
        <v>0</v>
      </c>
      <c r="AO731" s="12">
        <v>0</v>
      </c>
      <c r="AP731" s="12">
        <v>0</v>
      </c>
      <c r="AQ731" s="3">
        <f>SUM(AE731:AP731)</f>
        <v>0</v>
      </c>
      <c r="AR731" s="3">
        <v>0</v>
      </c>
      <c r="AS731" s="3">
        <v>0</v>
      </c>
      <c r="AT731" s="3">
        <v>0</v>
      </c>
      <c r="AU731" s="3">
        <v>0</v>
      </c>
      <c r="AV731" s="3">
        <v>0</v>
      </c>
      <c r="AW731" s="3">
        <v>0</v>
      </c>
      <c r="AX731" s="3">
        <v>0</v>
      </c>
      <c r="AY731" s="3">
        <v>0</v>
      </c>
      <c r="AZ731" s="3">
        <v>0</v>
      </c>
      <c r="BA731" s="3">
        <v>0</v>
      </c>
      <c r="BB731" s="3">
        <v>0</v>
      </c>
      <c r="BC731" s="3">
        <v>0</v>
      </c>
      <c r="BD731" s="3">
        <f>SUM(AR731:BC731)</f>
        <v>0</v>
      </c>
    </row>
    <row r="732" spans="1:56" x14ac:dyDescent="0.3">
      <c r="D732" s="8" t="s">
        <v>9</v>
      </c>
      <c r="E732" s="11"/>
      <c r="F732" s="11"/>
      <c r="I732" s="11">
        <v>166.67</v>
      </c>
      <c r="Q732" s="12">
        <f>SUM(E732:P732)</f>
        <v>166.67</v>
      </c>
      <c r="R732" s="11">
        <v>250</v>
      </c>
      <c r="AD732" s="12">
        <f>SUM(R732:AC732)</f>
        <v>250</v>
      </c>
      <c r="AE732" s="11">
        <v>250</v>
      </c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3">
        <f>SUM(AE732:AP732)</f>
        <v>250</v>
      </c>
      <c r="AR732" s="3">
        <v>250</v>
      </c>
      <c r="AS732" s="3">
        <v>0</v>
      </c>
      <c r="AT732" s="3">
        <v>0</v>
      </c>
      <c r="AU732" s="3">
        <v>0</v>
      </c>
      <c r="AV732" s="3">
        <v>0</v>
      </c>
      <c r="AW732" s="3">
        <v>0</v>
      </c>
      <c r="AX732" s="3">
        <v>0</v>
      </c>
      <c r="AY732" s="3">
        <v>0</v>
      </c>
      <c r="AZ732" s="3">
        <v>0</v>
      </c>
      <c r="BA732" s="3">
        <v>0</v>
      </c>
      <c r="BB732" s="3">
        <v>0</v>
      </c>
      <c r="BC732" s="3">
        <v>0</v>
      </c>
      <c r="BD732" s="3">
        <f>SUM(AR732:BC732)</f>
        <v>250</v>
      </c>
    </row>
    <row r="733" spans="1:56" ht="13.5" thickBot="1" x14ac:dyDescent="0.35">
      <c r="A733" t="s">
        <v>351</v>
      </c>
      <c r="D733" s="8" t="s">
        <v>10</v>
      </c>
      <c r="E733" s="12">
        <v>0</v>
      </c>
      <c r="F733" s="12">
        <v>0</v>
      </c>
      <c r="G733" s="12">
        <v>0</v>
      </c>
      <c r="H733" s="12">
        <v>0</v>
      </c>
      <c r="I733" s="12">
        <v>46662.78</v>
      </c>
      <c r="J733" s="12">
        <v>46662.78</v>
      </c>
      <c r="K733" s="12">
        <v>46662.78</v>
      </c>
      <c r="L733" s="12">
        <v>46662.78</v>
      </c>
      <c r="M733" s="12">
        <v>46662.77</v>
      </c>
      <c r="N733" s="12">
        <v>41416.660000000003</v>
      </c>
      <c r="O733" s="12">
        <v>41416.660000000003</v>
      </c>
      <c r="P733" s="12">
        <v>41416.660000000003</v>
      </c>
      <c r="Q733" s="12">
        <f>SUM(E733:P733)</f>
        <v>357563.87</v>
      </c>
      <c r="R733" s="12">
        <v>41416.660000000003</v>
      </c>
      <c r="S733" s="12">
        <v>41416.660000000003</v>
      </c>
      <c r="T733" s="12">
        <v>41416.699999999997</v>
      </c>
      <c r="U733" s="12">
        <f>2083.34+41416.66</f>
        <v>43500</v>
      </c>
      <c r="V733" s="12">
        <f t="shared" ref="V733:AF733" si="618">2083.34+41416.66</f>
        <v>43500</v>
      </c>
      <c r="W733" s="12">
        <f t="shared" si="618"/>
        <v>43500</v>
      </c>
      <c r="X733" s="12">
        <f t="shared" si="618"/>
        <v>43500</v>
      </c>
      <c r="Y733" s="12">
        <f t="shared" si="618"/>
        <v>43500</v>
      </c>
      <c r="Z733" s="12">
        <f>2083.34+41416.7</f>
        <v>43500.039999999994</v>
      </c>
      <c r="AA733" s="12">
        <f t="shared" si="618"/>
        <v>43500</v>
      </c>
      <c r="AB733" s="12">
        <f t="shared" si="618"/>
        <v>43500</v>
      </c>
      <c r="AC733" s="12">
        <f t="shared" si="618"/>
        <v>43500</v>
      </c>
      <c r="AD733" s="12">
        <f>SUM(R733:AC733)</f>
        <v>515750.06</v>
      </c>
      <c r="AE733" s="12">
        <f t="shared" si="618"/>
        <v>43500</v>
      </c>
      <c r="AF733" s="12">
        <f t="shared" si="618"/>
        <v>43500</v>
      </c>
      <c r="AG733" s="12">
        <f>2083.26+41416.7</f>
        <v>43499.96</v>
      </c>
      <c r="AH733" s="12">
        <f>1666.67+41333.33</f>
        <v>43000</v>
      </c>
      <c r="AI733" s="12">
        <f t="shared" ref="AI733:AP733" si="619">1666.67+41333.33</f>
        <v>43000</v>
      </c>
      <c r="AJ733" s="12">
        <f t="shared" si="619"/>
        <v>43000</v>
      </c>
      <c r="AK733" s="12">
        <f t="shared" si="619"/>
        <v>43000</v>
      </c>
      <c r="AL733" s="12">
        <f t="shared" si="619"/>
        <v>43000</v>
      </c>
      <c r="AM733" s="12">
        <f>1666.67+41333.35</f>
        <v>43000.02</v>
      </c>
      <c r="AN733" s="12">
        <f t="shared" si="619"/>
        <v>43000</v>
      </c>
      <c r="AO733" s="12">
        <f t="shared" si="619"/>
        <v>43000</v>
      </c>
      <c r="AP733" s="12">
        <f t="shared" si="619"/>
        <v>43000</v>
      </c>
      <c r="AQ733" s="3">
        <f>SUM(AE733:AP733)</f>
        <v>517499.98</v>
      </c>
      <c r="AR733" s="3">
        <f>1666.67+41333.33</f>
        <v>43000</v>
      </c>
      <c r="AS733" s="3">
        <f>1666.67+41333.33</f>
        <v>43000</v>
      </c>
      <c r="AT733" s="3">
        <f>1666.63+41333.35</f>
        <v>42999.979999999996</v>
      </c>
      <c r="AU733" s="3">
        <f>1666.67+41266.66</f>
        <v>42933.33</v>
      </c>
      <c r="AV733" s="3">
        <f t="shared" ref="AV733:AY733" si="620">1666.67+41266.66</f>
        <v>42933.33</v>
      </c>
      <c r="AW733" s="3">
        <f t="shared" si="620"/>
        <v>42933.33</v>
      </c>
      <c r="AX733" s="3">
        <f t="shared" si="620"/>
        <v>42933.33</v>
      </c>
      <c r="AY733" s="3">
        <f t="shared" si="620"/>
        <v>42933.33</v>
      </c>
      <c r="AZ733" s="3">
        <f>1666.67+41266.7</f>
        <v>42933.369999999995</v>
      </c>
      <c r="BA733" s="3">
        <f>1666.67+41266.66</f>
        <v>42933.33</v>
      </c>
      <c r="BB733" s="3">
        <f t="shared" ref="BB733:BC733" si="621">1666.67+41266.66</f>
        <v>42933.33</v>
      </c>
      <c r="BC733" s="3">
        <f t="shared" si="621"/>
        <v>42933.33</v>
      </c>
      <c r="BD733" s="3">
        <f>SUM(AR733:BC733)</f>
        <v>515399.99000000011</v>
      </c>
    </row>
    <row r="734" spans="1:56" ht="13.5" thickBot="1" x14ac:dyDescent="0.35">
      <c r="D734" s="13" t="s">
        <v>73</v>
      </c>
      <c r="E734" s="14">
        <f t="shared" ref="E734:AC734" si="622">SUM(E731:E733)</f>
        <v>0</v>
      </c>
      <c r="F734" s="14">
        <f t="shared" si="622"/>
        <v>0</v>
      </c>
      <c r="G734" s="14">
        <f t="shared" si="622"/>
        <v>0</v>
      </c>
      <c r="H734" s="14">
        <f t="shared" si="622"/>
        <v>0</v>
      </c>
      <c r="I734" s="14">
        <f t="shared" si="622"/>
        <v>46829.45</v>
      </c>
      <c r="J734" s="14">
        <f t="shared" si="622"/>
        <v>46662.78</v>
      </c>
      <c r="K734" s="14">
        <f t="shared" si="622"/>
        <v>46662.78</v>
      </c>
      <c r="L734" s="14">
        <f t="shared" si="622"/>
        <v>46662.78</v>
      </c>
      <c r="M734" s="14">
        <f t="shared" si="622"/>
        <v>46662.77</v>
      </c>
      <c r="N734" s="14">
        <f t="shared" si="622"/>
        <v>41416.660000000003</v>
      </c>
      <c r="O734" s="14">
        <f t="shared" si="622"/>
        <v>41416.660000000003</v>
      </c>
      <c r="P734" s="14">
        <f t="shared" si="622"/>
        <v>41416.660000000003</v>
      </c>
      <c r="Q734" s="14">
        <f t="shared" si="622"/>
        <v>357730.54</v>
      </c>
      <c r="R734" s="14">
        <f t="shared" si="622"/>
        <v>41666.660000000003</v>
      </c>
      <c r="S734" s="14">
        <f t="shared" si="622"/>
        <v>41416.660000000003</v>
      </c>
      <c r="T734" s="14">
        <f t="shared" si="622"/>
        <v>41416.699999999997</v>
      </c>
      <c r="U734" s="14">
        <f t="shared" si="622"/>
        <v>43500</v>
      </c>
      <c r="V734" s="14">
        <f t="shared" si="622"/>
        <v>43500</v>
      </c>
      <c r="W734" s="14">
        <f t="shared" si="622"/>
        <v>43500</v>
      </c>
      <c r="X734" s="14">
        <f t="shared" si="622"/>
        <v>43500</v>
      </c>
      <c r="Y734" s="14">
        <f t="shared" si="622"/>
        <v>43500</v>
      </c>
      <c r="Z734" s="14">
        <f t="shared" si="622"/>
        <v>43500.039999999994</v>
      </c>
      <c r="AA734" s="14">
        <f t="shared" si="622"/>
        <v>43500</v>
      </c>
      <c r="AB734" s="14">
        <f t="shared" si="622"/>
        <v>43500</v>
      </c>
      <c r="AC734" s="14">
        <f t="shared" si="622"/>
        <v>43500</v>
      </c>
      <c r="AD734" s="14">
        <f>SUM(AD731:AD733)</f>
        <v>516000.06</v>
      </c>
      <c r="AE734" s="14">
        <f>SUM(AE731:AE733)</f>
        <v>43750</v>
      </c>
      <c r="AF734" s="14">
        <f>SUM(AF731:AF733)</f>
        <v>43500</v>
      </c>
      <c r="AG734" s="14">
        <f t="shared" ref="AG734:AP734" si="623">SUM(AG731:AG733)</f>
        <v>43499.96</v>
      </c>
      <c r="AH734" s="14">
        <f t="shared" si="623"/>
        <v>43000</v>
      </c>
      <c r="AI734" s="14">
        <f t="shared" si="623"/>
        <v>43000</v>
      </c>
      <c r="AJ734" s="14">
        <f t="shared" si="623"/>
        <v>43000</v>
      </c>
      <c r="AK734" s="14">
        <f t="shared" si="623"/>
        <v>43000</v>
      </c>
      <c r="AL734" s="14">
        <f t="shared" si="623"/>
        <v>43000</v>
      </c>
      <c r="AM734" s="14">
        <f t="shared" si="623"/>
        <v>43000.02</v>
      </c>
      <c r="AN734" s="14">
        <f t="shared" si="623"/>
        <v>43000</v>
      </c>
      <c r="AO734" s="14">
        <f t="shared" si="623"/>
        <v>43000</v>
      </c>
      <c r="AP734" s="14">
        <f t="shared" si="623"/>
        <v>43000</v>
      </c>
      <c r="AQ734" s="22">
        <f>SUM(AQ731:AQ733)</f>
        <v>517749.98</v>
      </c>
      <c r="AR734" s="22">
        <f t="shared" ref="AR734:BD734" si="624">SUM(AR731:AR733)</f>
        <v>43250</v>
      </c>
      <c r="AS734" s="22">
        <f t="shared" si="624"/>
        <v>43000</v>
      </c>
      <c r="AT734" s="22">
        <f t="shared" si="624"/>
        <v>42999.979999999996</v>
      </c>
      <c r="AU734" s="22">
        <f t="shared" si="624"/>
        <v>42933.33</v>
      </c>
      <c r="AV734" s="22">
        <f t="shared" si="624"/>
        <v>42933.33</v>
      </c>
      <c r="AW734" s="22">
        <f t="shared" si="624"/>
        <v>42933.33</v>
      </c>
      <c r="AX734" s="22">
        <f t="shared" si="624"/>
        <v>42933.33</v>
      </c>
      <c r="AY734" s="22">
        <f t="shared" si="624"/>
        <v>42933.33</v>
      </c>
      <c r="AZ734" s="22">
        <f t="shared" si="624"/>
        <v>42933.369999999995</v>
      </c>
      <c r="BA734" s="22">
        <f t="shared" si="624"/>
        <v>42933.33</v>
      </c>
      <c r="BB734" s="22">
        <f t="shared" si="624"/>
        <v>42933.33</v>
      </c>
      <c r="BC734" s="22">
        <f t="shared" si="624"/>
        <v>42933.33</v>
      </c>
      <c r="BD734" s="22">
        <f t="shared" si="624"/>
        <v>515649.99000000011</v>
      </c>
    </row>
    <row r="735" spans="1:56" x14ac:dyDescent="0.3">
      <c r="D735" s="15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</row>
    <row r="736" spans="1:56" ht="15.5" x14ac:dyDescent="0.35">
      <c r="B736" s="20"/>
      <c r="C736" s="32" t="s">
        <v>6</v>
      </c>
      <c r="D736" s="10" t="s">
        <v>352</v>
      </c>
    </row>
    <row r="737" spans="1:56" x14ac:dyDescent="0.3">
      <c r="D737" s="8" t="s">
        <v>8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f>SUM(E737:P737)</f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f>SUM(R737:AC737)</f>
        <v>0</v>
      </c>
      <c r="AE737" s="12">
        <v>0</v>
      </c>
      <c r="AF737" s="12">
        <v>0</v>
      </c>
      <c r="AG737" s="12">
        <v>0</v>
      </c>
      <c r="AH737" s="12">
        <v>0</v>
      </c>
      <c r="AI737" s="12"/>
      <c r="AJ737" s="12"/>
      <c r="AK737" s="12"/>
      <c r="AL737" s="12"/>
      <c r="AM737" s="12"/>
      <c r="AN737" s="12"/>
      <c r="AO737" s="12"/>
      <c r="AP737" s="12"/>
      <c r="AQ737" s="3">
        <f>SUM(AE737:AP737)</f>
        <v>0</v>
      </c>
    </row>
    <row r="738" spans="1:56" x14ac:dyDescent="0.3">
      <c r="D738" s="8" t="s">
        <v>9</v>
      </c>
      <c r="E738" s="11"/>
      <c r="F738" s="11"/>
      <c r="I738" s="11">
        <v>166.67</v>
      </c>
      <c r="Q738" s="12">
        <f>SUM(E738:P738)</f>
        <v>166.67</v>
      </c>
      <c r="R738" s="11">
        <v>250</v>
      </c>
      <c r="AD738" s="12">
        <f>SUM(R738:AC738)</f>
        <v>250</v>
      </c>
      <c r="AE738" s="11">
        <v>250</v>
      </c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3">
        <f>SUM(AE738:AP738)</f>
        <v>250</v>
      </c>
    </row>
    <row r="739" spans="1:56" ht="13.5" thickBot="1" x14ac:dyDescent="0.35">
      <c r="A739" t="s">
        <v>353</v>
      </c>
      <c r="D739" s="8" t="s">
        <v>10</v>
      </c>
      <c r="E739" s="12">
        <v>0</v>
      </c>
      <c r="F739" s="12">
        <v>0</v>
      </c>
      <c r="G739" s="12">
        <v>0</v>
      </c>
      <c r="H739" s="12">
        <v>0</v>
      </c>
      <c r="I739" s="12">
        <v>24533.75</v>
      </c>
      <c r="J739" s="12">
        <v>24533.75</v>
      </c>
      <c r="K739" s="12">
        <v>24533.75</v>
      </c>
      <c r="L739" s="12">
        <v>24533.75</v>
      </c>
      <c r="M739" s="12">
        <v>24533.75</v>
      </c>
      <c r="N739" s="12">
        <v>24533.75</v>
      </c>
      <c r="O739" s="12">
        <v>24533.75</v>
      </c>
      <c r="P739" s="12">
        <v>38035.89</v>
      </c>
      <c r="Q739" s="12">
        <f>SUM(E739:P739)</f>
        <v>209772.14</v>
      </c>
      <c r="R739" s="12">
        <v>38035.89</v>
      </c>
      <c r="S739" s="12">
        <v>38035.89</v>
      </c>
      <c r="T739" s="12">
        <v>38035.89</v>
      </c>
      <c r="U739" s="12">
        <v>38035.89</v>
      </c>
      <c r="V739" s="12">
        <v>38035.89</v>
      </c>
      <c r="W739" s="12">
        <v>38035.89</v>
      </c>
      <c r="X739" s="12">
        <v>38035.89</v>
      </c>
      <c r="Y739" s="12">
        <v>38035.89</v>
      </c>
      <c r="Z739" s="12">
        <v>38035.89</v>
      </c>
      <c r="AA739" s="12">
        <v>38035.89</v>
      </c>
      <c r="AB739" s="12">
        <v>38035.879999999997</v>
      </c>
      <c r="AC739" s="12">
        <v>88022.5</v>
      </c>
      <c r="AD739" s="12">
        <f>SUM(R739:AC739)</f>
        <v>506417.28000000009</v>
      </c>
      <c r="AE739" s="12">
        <v>88022.5</v>
      </c>
      <c r="AF739" s="12">
        <v>88022.5</v>
      </c>
      <c r="AG739" s="12">
        <v>88022.5</v>
      </c>
      <c r="AH739" s="12">
        <v>88022.5</v>
      </c>
      <c r="AI739" s="12"/>
      <c r="AJ739" s="12"/>
      <c r="AK739" s="12"/>
      <c r="AL739" s="12"/>
      <c r="AM739" s="12"/>
      <c r="AN739" s="12"/>
      <c r="AO739" s="12"/>
      <c r="AP739" s="12"/>
      <c r="AQ739" s="3">
        <f>SUM(AE739:AP739)</f>
        <v>352090</v>
      </c>
    </row>
    <row r="740" spans="1:56" ht="13.5" thickBot="1" x14ac:dyDescent="0.35">
      <c r="D740" s="13" t="s">
        <v>354</v>
      </c>
      <c r="E740" s="14">
        <f t="shared" ref="E740:AC740" si="625">SUM(E737:E739)</f>
        <v>0</v>
      </c>
      <c r="F740" s="14">
        <f t="shared" si="625"/>
        <v>0</v>
      </c>
      <c r="G740" s="14">
        <f t="shared" si="625"/>
        <v>0</v>
      </c>
      <c r="H740" s="14">
        <f t="shared" si="625"/>
        <v>0</v>
      </c>
      <c r="I740" s="14">
        <f t="shared" si="625"/>
        <v>24700.42</v>
      </c>
      <c r="J740" s="14">
        <f t="shared" si="625"/>
        <v>24533.75</v>
      </c>
      <c r="K740" s="14">
        <f t="shared" si="625"/>
        <v>24533.75</v>
      </c>
      <c r="L740" s="14">
        <f t="shared" si="625"/>
        <v>24533.75</v>
      </c>
      <c r="M740" s="14">
        <f t="shared" si="625"/>
        <v>24533.75</v>
      </c>
      <c r="N740" s="14">
        <f t="shared" si="625"/>
        <v>24533.75</v>
      </c>
      <c r="O740" s="14">
        <f t="shared" si="625"/>
        <v>24533.75</v>
      </c>
      <c r="P740" s="14">
        <f t="shared" si="625"/>
        <v>38035.89</v>
      </c>
      <c r="Q740" s="14">
        <f t="shared" si="625"/>
        <v>209938.81000000003</v>
      </c>
      <c r="R740" s="14">
        <f t="shared" si="625"/>
        <v>38285.89</v>
      </c>
      <c r="S740" s="14">
        <f t="shared" si="625"/>
        <v>38035.89</v>
      </c>
      <c r="T740" s="14">
        <f t="shared" si="625"/>
        <v>38035.89</v>
      </c>
      <c r="U740" s="14">
        <f t="shared" si="625"/>
        <v>38035.89</v>
      </c>
      <c r="V740" s="14">
        <f t="shared" si="625"/>
        <v>38035.89</v>
      </c>
      <c r="W740" s="14">
        <f t="shared" si="625"/>
        <v>38035.89</v>
      </c>
      <c r="X740" s="14">
        <f t="shared" si="625"/>
        <v>38035.89</v>
      </c>
      <c r="Y740" s="14">
        <f t="shared" si="625"/>
        <v>38035.89</v>
      </c>
      <c r="Z740" s="14">
        <f t="shared" si="625"/>
        <v>38035.89</v>
      </c>
      <c r="AA740" s="14">
        <f t="shared" si="625"/>
        <v>38035.89</v>
      </c>
      <c r="AB740" s="14">
        <f t="shared" si="625"/>
        <v>38035.879999999997</v>
      </c>
      <c r="AC740" s="14">
        <f t="shared" si="625"/>
        <v>88022.5</v>
      </c>
      <c r="AD740" s="14">
        <f>SUM(AD737:AD739)</f>
        <v>506667.28000000009</v>
      </c>
      <c r="AE740" s="14">
        <f>SUM(AE737:AE739)</f>
        <v>88272.5</v>
      </c>
      <c r="AF740" s="14">
        <f>SUM(AF737:AF739)</f>
        <v>88022.5</v>
      </c>
      <c r="AG740" s="14">
        <f t="shared" ref="AG740:AP740" si="626">SUM(AG737:AG739)</f>
        <v>88022.5</v>
      </c>
      <c r="AH740" s="14">
        <f t="shared" si="626"/>
        <v>88022.5</v>
      </c>
      <c r="AI740" s="14">
        <f t="shared" si="626"/>
        <v>0</v>
      </c>
      <c r="AJ740" s="14">
        <f t="shared" si="626"/>
        <v>0</v>
      </c>
      <c r="AK740" s="14">
        <f t="shared" si="626"/>
        <v>0</v>
      </c>
      <c r="AL740" s="14">
        <f t="shared" si="626"/>
        <v>0</v>
      </c>
      <c r="AM740" s="14">
        <f t="shared" si="626"/>
        <v>0</v>
      </c>
      <c r="AN740" s="14">
        <f t="shared" si="626"/>
        <v>0</v>
      </c>
      <c r="AO740" s="14">
        <f t="shared" si="626"/>
        <v>0</v>
      </c>
      <c r="AP740" s="14">
        <f t="shared" si="626"/>
        <v>0</v>
      </c>
      <c r="AQ740" s="22">
        <f>SUM(AQ737:AQ739)</f>
        <v>352340</v>
      </c>
    </row>
    <row r="741" spans="1:56" x14ac:dyDescent="0.3">
      <c r="D741" s="15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</row>
    <row r="742" spans="1:56" ht="15.5" x14ac:dyDescent="0.35">
      <c r="A742" s="33" t="s">
        <v>14</v>
      </c>
      <c r="B742" s="20">
        <f>+B730+1</f>
        <v>90</v>
      </c>
      <c r="C742" s="1" t="s">
        <v>208</v>
      </c>
      <c r="D742" s="25" t="s">
        <v>355</v>
      </c>
    </row>
    <row r="743" spans="1:56" x14ac:dyDescent="0.3">
      <c r="D743" s="8" t="s">
        <v>8</v>
      </c>
      <c r="E743" s="12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f>SUM(E743:P743)</f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f>SUM(R743:AC743)</f>
        <v>0</v>
      </c>
      <c r="AE743" s="12">
        <v>0</v>
      </c>
      <c r="AF743" s="12">
        <v>0</v>
      </c>
      <c r="AG743" s="12">
        <v>0</v>
      </c>
      <c r="AH743" s="12">
        <v>0</v>
      </c>
      <c r="AI743" s="12">
        <v>0</v>
      </c>
      <c r="AJ743" s="12">
        <v>0</v>
      </c>
      <c r="AK743" s="12">
        <v>0</v>
      </c>
      <c r="AL743" s="12">
        <v>0</v>
      </c>
      <c r="AM743" s="12">
        <v>0</v>
      </c>
      <c r="AN743" s="12">
        <v>0</v>
      </c>
      <c r="AO743" s="12">
        <v>0</v>
      </c>
      <c r="AP743" s="12">
        <v>0</v>
      </c>
      <c r="AQ743" s="3">
        <f>SUM(AE743:AP743)</f>
        <v>0</v>
      </c>
      <c r="AR743" s="3">
        <v>0</v>
      </c>
      <c r="AS743" s="3">
        <v>0</v>
      </c>
      <c r="AT743" s="3">
        <v>0</v>
      </c>
      <c r="AU743" s="3">
        <v>0</v>
      </c>
      <c r="AV743" s="3">
        <v>0</v>
      </c>
      <c r="AW743" s="3">
        <v>0</v>
      </c>
      <c r="AX743" s="3">
        <v>0</v>
      </c>
      <c r="AY743" s="3">
        <v>0</v>
      </c>
      <c r="AZ743" s="3">
        <v>0</v>
      </c>
      <c r="BA743" s="3">
        <v>0</v>
      </c>
      <c r="BB743" s="3">
        <v>0</v>
      </c>
      <c r="BC743" s="3">
        <v>0</v>
      </c>
      <c r="BD743" s="3">
        <f>SUM(AR743:BC743)</f>
        <v>0</v>
      </c>
    </row>
    <row r="744" spans="1:56" x14ac:dyDescent="0.3">
      <c r="D744" s="8" t="s">
        <v>9</v>
      </c>
      <c r="E744" s="11"/>
      <c r="F744" s="11"/>
      <c r="I744" s="11"/>
      <c r="K744" s="11">
        <v>62.5</v>
      </c>
      <c r="Q744" s="12">
        <f>SUM(E744:P744)</f>
        <v>62.5</v>
      </c>
      <c r="R744" s="11">
        <v>125</v>
      </c>
      <c r="AD744" s="12">
        <f>SUM(R744:AC744)</f>
        <v>125</v>
      </c>
      <c r="AE744" s="11">
        <v>125</v>
      </c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3">
        <f>SUM(AE744:AP744)</f>
        <v>125</v>
      </c>
      <c r="AR744" s="3">
        <v>250</v>
      </c>
      <c r="AS744" s="3">
        <v>0</v>
      </c>
      <c r="AT744" s="3">
        <v>0</v>
      </c>
      <c r="AU744" s="3">
        <v>0</v>
      </c>
      <c r="AV744" s="3">
        <v>0</v>
      </c>
      <c r="AW744" s="3">
        <v>0</v>
      </c>
      <c r="AX744" s="3">
        <v>0</v>
      </c>
      <c r="AY744" s="3">
        <v>0</v>
      </c>
      <c r="AZ744" s="3">
        <v>0</v>
      </c>
      <c r="BA744" s="3">
        <v>0</v>
      </c>
      <c r="BB744" s="3">
        <v>0</v>
      </c>
      <c r="BC744" s="3">
        <v>0</v>
      </c>
      <c r="BD744" s="3">
        <f>SUM(AR744:BC744)</f>
        <v>250</v>
      </c>
    </row>
    <row r="745" spans="1:56" ht="13.5" thickBot="1" x14ac:dyDescent="0.35">
      <c r="A745" t="s">
        <v>356</v>
      </c>
      <c r="D745" s="8" t="s">
        <v>10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f>29285.71+55956.33</f>
        <v>85242.040000000008</v>
      </c>
      <c r="L745" s="12">
        <f>29285.71+55956.33</f>
        <v>85242.040000000008</v>
      </c>
      <c r="M745" s="12">
        <f>29285.71+55956.33</f>
        <v>85242.040000000008</v>
      </c>
      <c r="N745" s="12">
        <f>29285.71+55956.33</f>
        <v>85242.040000000008</v>
      </c>
      <c r="O745" s="12">
        <f>29285.71+55956.33</f>
        <v>85242.040000000008</v>
      </c>
      <c r="P745" s="12">
        <f>29285.74+55956.35</f>
        <v>85242.09</v>
      </c>
      <c r="Q745" s="12">
        <f>SUM(E745:P745)</f>
        <v>511452.29000000004</v>
      </c>
      <c r="R745" s="11">
        <v>88276.800000000003</v>
      </c>
      <c r="S745" s="11">
        <v>88276.800000000003</v>
      </c>
      <c r="T745" s="11">
        <v>88276.800000000003</v>
      </c>
      <c r="U745" s="11">
        <v>88276.800000000003</v>
      </c>
      <c r="V745" s="11">
        <v>88276.800000000003</v>
      </c>
      <c r="W745" s="11">
        <v>88276.77</v>
      </c>
      <c r="X745" s="11">
        <v>88276.800000000003</v>
      </c>
      <c r="Y745" s="11">
        <v>88276.800000000003</v>
      </c>
      <c r="Z745" s="11">
        <v>88276.800000000003</v>
      </c>
      <c r="AA745" s="11">
        <v>88276.800000000003</v>
      </c>
      <c r="AB745" s="11">
        <v>88276.800000000003</v>
      </c>
      <c r="AC745" s="11">
        <v>88276.73</v>
      </c>
      <c r="AD745" s="12">
        <f>SUM(R745:AC745)</f>
        <v>1059321.5000000002</v>
      </c>
      <c r="AE745" s="12">
        <v>87544.66</v>
      </c>
      <c r="AF745" s="12">
        <v>87544.66</v>
      </c>
      <c r="AG745" s="12">
        <v>87544.66</v>
      </c>
      <c r="AH745" s="12">
        <v>87544.66</v>
      </c>
      <c r="AI745" s="12">
        <v>87544.66</v>
      </c>
      <c r="AJ745" s="12">
        <v>87544.68</v>
      </c>
      <c r="AK745" s="12">
        <v>87544.66</v>
      </c>
      <c r="AL745" s="12">
        <v>87544.66</v>
      </c>
      <c r="AM745" s="12">
        <v>87544.66</v>
      </c>
      <c r="AN745" s="12">
        <v>87544.66</v>
      </c>
      <c r="AO745" s="12">
        <v>87544.66</v>
      </c>
      <c r="AP745" s="12">
        <v>87544.72</v>
      </c>
      <c r="AQ745" s="3">
        <f>SUM(AE745:AP745)</f>
        <v>1050536.0000000002</v>
      </c>
      <c r="AR745" s="3">
        <f>34583.33+53048</f>
        <v>87631.33</v>
      </c>
      <c r="AS745" s="3">
        <f>34583.33+53048</f>
        <v>87631.33</v>
      </c>
      <c r="AT745" s="3">
        <f t="shared" ref="AT745:BB745" si="627">34583.33+53048</f>
        <v>87631.33</v>
      </c>
      <c r="AU745" s="3">
        <f t="shared" si="627"/>
        <v>87631.33</v>
      </c>
      <c r="AV745" s="3">
        <f t="shared" si="627"/>
        <v>87631.33</v>
      </c>
      <c r="AW745" s="3">
        <f t="shared" si="627"/>
        <v>87631.33</v>
      </c>
      <c r="AX745" s="3">
        <f t="shared" si="627"/>
        <v>87631.33</v>
      </c>
      <c r="AY745" s="3">
        <f t="shared" si="627"/>
        <v>87631.33</v>
      </c>
      <c r="AZ745" s="3">
        <f t="shared" si="627"/>
        <v>87631.33</v>
      </c>
      <c r="BA745" s="3">
        <f t="shared" si="627"/>
        <v>87631.33</v>
      </c>
      <c r="BB745" s="3">
        <f t="shared" si="627"/>
        <v>87631.33</v>
      </c>
      <c r="BC745" s="3">
        <f>34583.37+53048</f>
        <v>87631.37</v>
      </c>
      <c r="BD745" s="3">
        <f>SUM(AR745:BC745)</f>
        <v>1051575.9999999998</v>
      </c>
    </row>
    <row r="746" spans="1:56" ht="13.5" thickBot="1" x14ac:dyDescent="0.35">
      <c r="D746" s="13" t="s">
        <v>357</v>
      </c>
      <c r="E746" s="14">
        <f t="shared" ref="E746:AC746" si="628">SUM(E743:E745)</f>
        <v>0</v>
      </c>
      <c r="F746" s="14">
        <f t="shared" si="628"/>
        <v>0</v>
      </c>
      <c r="G746" s="14">
        <f t="shared" si="628"/>
        <v>0</v>
      </c>
      <c r="H746" s="14">
        <f t="shared" si="628"/>
        <v>0</v>
      </c>
      <c r="I746" s="14">
        <f t="shared" si="628"/>
        <v>0</v>
      </c>
      <c r="J746" s="14">
        <f t="shared" si="628"/>
        <v>0</v>
      </c>
      <c r="K746" s="14">
        <f t="shared" si="628"/>
        <v>85304.540000000008</v>
      </c>
      <c r="L746" s="14">
        <f t="shared" si="628"/>
        <v>85242.040000000008</v>
      </c>
      <c r="M746" s="14">
        <f t="shared" si="628"/>
        <v>85242.040000000008</v>
      </c>
      <c r="N746" s="14">
        <f t="shared" si="628"/>
        <v>85242.040000000008</v>
      </c>
      <c r="O746" s="14">
        <f t="shared" si="628"/>
        <v>85242.040000000008</v>
      </c>
      <c r="P746" s="14">
        <f t="shared" si="628"/>
        <v>85242.09</v>
      </c>
      <c r="Q746" s="14">
        <f t="shared" si="628"/>
        <v>511514.79000000004</v>
      </c>
      <c r="R746" s="14">
        <f t="shared" si="628"/>
        <v>88401.8</v>
      </c>
      <c r="S746" s="14">
        <f t="shared" si="628"/>
        <v>88276.800000000003</v>
      </c>
      <c r="T746" s="14">
        <f t="shared" si="628"/>
        <v>88276.800000000003</v>
      </c>
      <c r="U746" s="14">
        <f t="shared" si="628"/>
        <v>88276.800000000003</v>
      </c>
      <c r="V746" s="14">
        <f t="shared" si="628"/>
        <v>88276.800000000003</v>
      </c>
      <c r="W746" s="14">
        <f t="shared" si="628"/>
        <v>88276.77</v>
      </c>
      <c r="X746" s="14">
        <f t="shared" si="628"/>
        <v>88276.800000000003</v>
      </c>
      <c r="Y746" s="14">
        <f t="shared" si="628"/>
        <v>88276.800000000003</v>
      </c>
      <c r="Z746" s="14">
        <f t="shared" si="628"/>
        <v>88276.800000000003</v>
      </c>
      <c r="AA746" s="14">
        <f t="shared" si="628"/>
        <v>88276.800000000003</v>
      </c>
      <c r="AB746" s="14">
        <f t="shared" si="628"/>
        <v>88276.800000000003</v>
      </c>
      <c r="AC746" s="14">
        <f t="shared" si="628"/>
        <v>88276.73</v>
      </c>
      <c r="AD746" s="14">
        <f>SUM(AD743:AD745)</f>
        <v>1059446.5000000002</v>
      </c>
      <c r="AE746" s="14">
        <f>SUM(AE743:AE745)</f>
        <v>87669.66</v>
      </c>
      <c r="AF746" s="14">
        <f>SUM(AF743:AF745)</f>
        <v>87544.66</v>
      </c>
      <c r="AG746" s="14">
        <f t="shared" ref="AG746:AP746" si="629">SUM(AG743:AG745)</f>
        <v>87544.66</v>
      </c>
      <c r="AH746" s="14">
        <f t="shared" si="629"/>
        <v>87544.66</v>
      </c>
      <c r="AI746" s="14">
        <f t="shared" si="629"/>
        <v>87544.66</v>
      </c>
      <c r="AJ746" s="14">
        <f t="shared" si="629"/>
        <v>87544.68</v>
      </c>
      <c r="AK746" s="14">
        <f t="shared" si="629"/>
        <v>87544.66</v>
      </c>
      <c r="AL746" s="14">
        <f t="shared" si="629"/>
        <v>87544.66</v>
      </c>
      <c r="AM746" s="14">
        <f t="shared" si="629"/>
        <v>87544.66</v>
      </c>
      <c r="AN746" s="14">
        <f t="shared" si="629"/>
        <v>87544.66</v>
      </c>
      <c r="AO746" s="14">
        <f t="shared" si="629"/>
        <v>87544.66</v>
      </c>
      <c r="AP746" s="14">
        <f t="shared" si="629"/>
        <v>87544.72</v>
      </c>
      <c r="AQ746" s="22">
        <f>SUM(AQ743:AQ745)</f>
        <v>1050661.0000000002</v>
      </c>
      <c r="AR746" s="22">
        <f t="shared" ref="AR746:BD746" si="630">SUM(AR743:AR745)</f>
        <v>87881.33</v>
      </c>
      <c r="AS746" s="22">
        <f t="shared" si="630"/>
        <v>87631.33</v>
      </c>
      <c r="AT746" s="22">
        <f t="shared" si="630"/>
        <v>87631.33</v>
      </c>
      <c r="AU746" s="22">
        <f t="shared" si="630"/>
        <v>87631.33</v>
      </c>
      <c r="AV746" s="22">
        <f t="shared" si="630"/>
        <v>87631.33</v>
      </c>
      <c r="AW746" s="22">
        <f t="shared" si="630"/>
        <v>87631.33</v>
      </c>
      <c r="AX746" s="22">
        <f t="shared" si="630"/>
        <v>87631.33</v>
      </c>
      <c r="AY746" s="22">
        <f t="shared" si="630"/>
        <v>87631.33</v>
      </c>
      <c r="AZ746" s="22">
        <f t="shared" si="630"/>
        <v>87631.33</v>
      </c>
      <c r="BA746" s="22">
        <f t="shared" si="630"/>
        <v>87631.33</v>
      </c>
      <c r="BB746" s="22">
        <f t="shared" si="630"/>
        <v>87631.33</v>
      </c>
      <c r="BC746" s="22">
        <f t="shared" si="630"/>
        <v>87631.37</v>
      </c>
      <c r="BD746" s="22">
        <f t="shared" si="630"/>
        <v>1051825.9999999998</v>
      </c>
    </row>
    <row r="747" spans="1:56" x14ac:dyDescent="0.3">
      <c r="D747" s="15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</row>
    <row r="748" spans="1:56" ht="15.5" x14ac:dyDescent="0.35">
      <c r="B748" s="20">
        <f>B742</f>
        <v>90</v>
      </c>
      <c r="C748" s="1" t="s">
        <v>212</v>
      </c>
      <c r="D748" s="25" t="s">
        <v>358</v>
      </c>
    </row>
    <row r="749" spans="1:56" x14ac:dyDescent="0.3">
      <c r="D749" s="8" t="s">
        <v>8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f>SUM(E749:P749)</f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f>SUM(R749:AC749)</f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0</v>
      </c>
      <c r="AJ749" s="12">
        <v>0</v>
      </c>
      <c r="AK749" s="12">
        <v>0</v>
      </c>
      <c r="AL749" s="12">
        <v>0</v>
      </c>
      <c r="AM749" s="12">
        <v>0</v>
      </c>
      <c r="AN749" s="12">
        <v>0</v>
      </c>
      <c r="AO749" s="12">
        <v>0</v>
      </c>
      <c r="AP749" s="12">
        <v>0</v>
      </c>
      <c r="AQ749" s="3">
        <f>SUM(AE749:AP749)</f>
        <v>0</v>
      </c>
      <c r="BD749" s="3">
        <f>SUM(AR749:BC749)</f>
        <v>0</v>
      </c>
    </row>
    <row r="750" spans="1:56" x14ac:dyDescent="0.3">
      <c r="D750" s="8" t="s">
        <v>9</v>
      </c>
      <c r="E750" s="11"/>
      <c r="F750" s="11"/>
      <c r="I750" s="11"/>
      <c r="K750" s="11">
        <v>62.5</v>
      </c>
      <c r="Q750" s="12">
        <f>SUM(E750:P750)</f>
        <v>62.5</v>
      </c>
      <c r="R750" s="11">
        <v>125</v>
      </c>
      <c r="AD750" s="12">
        <f>SUM(R750:AC750)</f>
        <v>125</v>
      </c>
      <c r="AE750" s="11">
        <v>125</v>
      </c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3">
        <f>SUM(AE750:AP750)</f>
        <v>125</v>
      </c>
      <c r="BD750" s="3">
        <f>SUM(AR750:BC750)</f>
        <v>0</v>
      </c>
    </row>
    <row r="751" spans="1:56" ht="13.5" thickBot="1" x14ac:dyDescent="0.35">
      <c r="A751" t="s">
        <v>359</v>
      </c>
      <c r="D751" s="8" t="s">
        <v>10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28500</v>
      </c>
      <c r="L751" s="12">
        <v>28500</v>
      </c>
      <c r="M751" s="12">
        <v>28500</v>
      </c>
      <c r="N751" s="12">
        <v>28500</v>
      </c>
      <c r="O751" s="12">
        <v>28500</v>
      </c>
      <c r="P751" s="12">
        <v>28500</v>
      </c>
      <c r="Q751" s="12">
        <f>SUM(E751:P751)</f>
        <v>171000</v>
      </c>
      <c r="R751" s="12">
        <v>28500</v>
      </c>
      <c r="S751" s="12">
        <v>28500</v>
      </c>
      <c r="T751" s="12">
        <v>28500</v>
      </c>
      <c r="U751" s="12">
        <v>28500</v>
      </c>
      <c r="V751" s="12">
        <v>28500</v>
      </c>
      <c r="W751" s="12">
        <v>28500</v>
      </c>
      <c r="X751" s="12">
        <v>28500</v>
      </c>
      <c r="Y751" s="12">
        <v>28500</v>
      </c>
      <c r="Z751" s="12">
        <v>28500</v>
      </c>
      <c r="AA751" s="12">
        <v>28500</v>
      </c>
      <c r="AB751" s="12">
        <v>28500</v>
      </c>
      <c r="AC751" s="12">
        <v>28500</v>
      </c>
      <c r="AD751" s="12">
        <f>SUM(R751:AC751)</f>
        <v>342000</v>
      </c>
      <c r="AE751" s="12">
        <v>28500</v>
      </c>
      <c r="AF751" s="12">
        <v>28500</v>
      </c>
      <c r="AG751" s="12">
        <v>28500</v>
      </c>
      <c r="AH751" s="12">
        <v>28500</v>
      </c>
      <c r="AI751" s="12">
        <v>28500</v>
      </c>
      <c r="AJ751" s="12">
        <v>0</v>
      </c>
      <c r="AK751" s="12">
        <v>0</v>
      </c>
      <c r="AL751" s="12">
        <v>0</v>
      </c>
      <c r="AM751" s="12">
        <v>0</v>
      </c>
      <c r="AN751" s="12">
        <v>0</v>
      </c>
      <c r="AO751" s="12">
        <v>0</v>
      </c>
      <c r="AP751" s="12">
        <v>0</v>
      </c>
      <c r="AQ751" s="3">
        <f>SUM(AE751:AP751)</f>
        <v>142500</v>
      </c>
      <c r="AR751" s="60">
        <v>0</v>
      </c>
      <c r="AS751" s="60">
        <v>0</v>
      </c>
      <c r="AT751" s="3">
        <v>56500</v>
      </c>
      <c r="AU751" s="3">
        <v>56500</v>
      </c>
      <c r="AV751" s="3">
        <v>56500</v>
      </c>
      <c r="AW751" s="3">
        <v>56500</v>
      </c>
      <c r="AX751" s="3">
        <v>56500</v>
      </c>
      <c r="AY751" s="3">
        <v>56500</v>
      </c>
      <c r="AZ751" s="3">
        <v>56500</v>
      </c>
      <c r="BA751" s="3">
        <v>56500</v>
      </c>
      <c r="BB751" s="3">
        <v>56500</v>
      </c>
      <c r="BC751" s="3">
        <v>0</v>
      </c>
      <c r="BD751" s="3">
        <f>SUM(AR751:BC751)</f>
        <v>508500</v>
      </c>
    </row>
    <row r="752" spans="1:56" ht="13.5" thickBot="1" x14ac:dyDescent="0.35">
      <c r="D752" s="13" t="s">
        <v>357</v>
      </c>
      <c r="E752" s="14">
        <f t="shared" ref="E752:AC752" si="631">SUM(E749:E751)</f>
        <v>0</v>
      </c>
      <c r="F752" s="14">
        <f t="shared" si="631"/>
        <v>0</v>
      </c>
      <c r="G752" s="14">
        <f t="shared" si="631"/>
        <v>0</v>
      </c>
      <c r="H752" s="14">
        <f t="shared" si="631"/>
        <v>0</v>
      </c>
      <c r="I752" s="14">
        <f t="shared" si="631"/>
        <v>0</v>
      </c>
      <c r="J752" s="14">
        <f t="shared" si="631"/>
        <v>0</v>
      </c>
      <c r="K752" s="14">
        <f t="shared" si="631"/>
        <v>28562.5</v>
      </c>
      <c r="L752" s="14">
        <f t="shared" si="631"/>
        <v>28500</v>
      </c>
      <c r="M752" s="14">
        <f t="shared" si="631"/>
        <v>28500</v>
      </c>
      <c r="N752" s="14">
        <f t="shared" si="631"/>
        <v>28500</v>
      </c>
      <c r="O752" s="14">
        <f t="shared" si="631"/>
        <v>28500</v>
      </c>
      <c r="P752" s="14">
        <f t="shared" si="631"/>
        <v>28500</v>
      </c>
      <c r="Q752" s="14">
        <f t="shared" si="631"/>
        <v>171062.5</v>
      </c>
      <c r="R752" s="14">
        <f t="shared" si="631"/>
        <v>28625</v>
      </c>
      <c r="S752" s="14">
        <f t="shared" si="631"/>
        <v>28500</v>
      </c>
      <c r="T752" s="14">
        <f t="shared" si="631"/>
        <v>28500</v>
      </c>
      <c r="U752" s="14">
        <f t="shared" si="631"/>
        <v>28500</v>
      </c>
      <c r="V752" s="14">
        <f t="shared" si="631"/>
        <v>28500</v>
      </c>
      <c r="W752" s="14">
        <f t="shared" si="631"/>
        <v>28500</v>
      </c>
      <c r="X752" s="14">
        <f t="shared" si="631"/>
        <v>28500</v>
      </c>
      <c r="Y752" s="14">
        <f t="shared" si="631"/>
        <v>28500</v>
      </c>
      <c r="Z752" s="14">
        <f t="shared" si="631"/>
        <v>28500</v>
      </c>
      <c r="AA752" s="14">
        <f t="shared" si="631"/>
        <v>28500</v>
      </c>
      <c r="AB752" s="14">
        <f t="shared" si="631"/>
        <v>28500</v>
      </c>
      <c r="AC752" s="14">
        <f t="shared" si="631"/>
        <v>28500</v>
      </c>
      <c r="AD752" s="14">
        <f>SUM(AD749:AD751)</f>
        <v>342125</v>
      </c>
      <c r="AE752" s="14">
        <f>SUM(AE749:AE751)</f>
        <v>28625</v>
      </c>
      <c r="AF752" s="14">
        <f>SUM(AF749:AF751)</f>
        <v>28500</v>
      </c>
      <c r="AG752" s="14">
        <f t="shared" ref="AG752:AP752" si="632">SUM(AG749:AG751)</f>
        <v>28500</v>
      </c>
      <c r="AH752" s="14">
        <f t="shared" si="632"/>
        <v>28500</v>
      </c>
      <c r="AI752" s="14">
        <f t="shared" si="632"/>
        <v>28500</v>
      </c>
      <c r="AJ752" s="14">
        <f t="shared" si="632"/>
        <v>0</v>
      </c>
      <c r="AK752" s="14">
        <f t="shared" si="632"/>
        <v>0</v>
      </c>
      <c r="AL752" s="14">
        <f t="shared" si="632"/>
        <v>0</v>
      </c>
      <c r="AM752" s="14">
        <f t="shared" si="632"/>
        <v>0</v>
      </c>
      <c r="AN752" s="14">
        <f t="shared" si="632"/>
        <v>0</v>
      </c>
      <c r="AO752" s="14">
        <f t="shared" si="632"/>
        <v>0</v>
      </c>
      <c r="AP752" s="14">
        <f t="shared" si="632"/>
        <v>0</v>
      </c>
      <c r="AQ752" s="22">
        <f>SUM(AQ749:AQ751)</f>
        <v>142625</v>
      </c>
      <c r="AR752" s="22">
        <f t="shared" ref="AR752:BD752" si="633">SUM(AR749:AR751)</f>
        <v>0</v>
      </c>
      <c r="AS752" s="22">
        <f t="shared" si="633"/>
        <v>0</v>
      </c>
      <c r="AT752" s="22">
        <f t="shared" si="633"/>
        <v>56500</v>
      </c>
      <c r="AU752" s="22">
        <f t="shared" si="633"/>
        <v>56500</v>
      </c>
      <c r="AV752" s="22">
        <f t="shared" si="633"/>
        <v>56500</v>
      </c>
      <c r="AW752" s="22">
        <f t="shared" si="633"/>
        <v>56500</v>
      </c>
      <c r="AX752" s="22">
        <f t="shared" si="633"/>
        <v>56500</v>
      </c>
      <c r="AY752" s="22">
        <f t="shared" si="633"/>
        <v>56500</v>
      </c>
      <c r="AZ752" s="22">
        <f t="shared" si="633"/>
        <v>56500</v>
      </c>
      <c r="BA752" s="22">
        <f t="shared" si="633"/>
        <v>56500</v>
      </c>
      <c r="BB752" s="22">
        <f t="shared" si="633"/>
        <v>56500</v>
      </c>
      <c r="BC752" s="22">
        <f t="shared" si="633"/>
        <v>0</v>
      </c>
      <c r="BD752" s="22">
        <f t="shared" si="633"/>
        <v>508500</v>
      </c>
    </row>
    <row r="753" spans="1:56" x14ac:dyDescent="0.3">
      <c r="D753" s="15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</row>
    <row r="754" spans="1:56" ht="15.5" x14ac:dyDescent="0.35">
      <c r="A754" s="33" t="s">
        <v>14</v>
      </c>
      <c r="B754" s="20">
        <f>+B748+1</f>
        <v>91</v>
      </c>
      <c r="C754" s="1" t="s">
        <v>208</v>
      </c>
      <c r="D754" s="25" t="s">
        <v>360</v>
      </c>
    </row>
    <row r="755" spans="1:56" x14ac:dyDescent="0.3">
      <c r="D755" s="8" t="s">
        <v>8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f>SUM(E755:P755)</f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f>SUM(R755:AC755)</f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12">
        <v>0</v>
      </c>
      <c r="AK755" s="12">
        <v>0</v>
      </c>
      <c r="AL755" s="12">
        <v>0</v>
      </c>
      <c r="AM755" s="12">
        <v>0</v>
      </c>
      <c r="AN755" s="12">
        <v>0</v>
      </c>
      <c r="AO755" s="12">
        <v>0</v>
      </c>
      <c r="AP755" s="12">
        <v>0</v>
      </c>
      <c r="AQ755" s="3">
        <f>SUM(AE755:AP755)</f>
        <v>0</v>
      </c>
      <c r="AR755" s="3">
        <v>0</v>
      </c>
      <c r="AS755" s="3">
        <v>0</v>
      </c>
      <c r="AT755" s="3">
        <v>0</v>
      </c>
      <c r="AU755" s="3">
        <v>0</v>
      </c>
      <c r="AV755" s="3">
        <v>0</v>
      </c>
      <c r="AW755" s="3">
        <v>0</v>
      </c>
      <c r="AX755" s="3">
        <v>0</v>
      </c>
      <c r="AY755" s="3">
        <v>0</v>
      </c>
      <c r="AZ755" s="3">
        <v>0</v>
      </c>
      <c r="BA755" s="3">
        <v>0</v>
      </c>
      <c r="BB755" s="3">
        <v>0</v>
      </c>
      <c r="BC755" s="3">
        <v>0</v>
      </c>
      <c r="BD755" s="3">
        <f>SUM(AR755:BC755)</f>
        <v>0</v>
      </c>
    </row>
    <row r="756" spans="1:56" x14ac:dyDescent="0.3">
      <c r="D756" s="8" t="s">
        <v>9</v>
      </c>
      <c r="E756" s="11"/>
      <c r="F756" s="11"/>
      <c r="I756" s="11"/>
      <c r="K756" s="11">
        <v>62.5</v>
      </c>
      <c r="Q756" s="12">
        <f>SUM(E756:P756)</f>
        <v>62.5</v>
      </c>
      <c r="R756" s="11">
        <v>125</v>
      </c>
      <c r="AD756" s="12">
        <f>SUM(R756:AC756)</f>
        <v>125</v>
      </c>
      <c r="AE756" s="11">
        <v>125</v>
      </c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3">
        <f>SUM(AE756:AP756)</f>
        <v>125</v>
      </c>
      <c r="AR756" s="3">
        <v>125</v>
      </c>
      <c r="AS756" s="3">
        <v>0</v>
      </c>
      <c r="AT756" s="3">
        <v>0</v>
      </c>
      <c r="AU756" s="3">
        <v>0</v>
      </c>
      <c r="AV756" s="3">
        <v>0</v>
      </c>
      <c r="AW756" s="3">
        <v>0</v>
      </c>
      <c r="AX756" s="3">
        <v>0</v>
      </c>
      <c r="AY756" s="3">
        <v>0</v>
      </c>
      <c r="AZ756" s="3">
        <v>0</v>
      </c>
      <c r="BA756" s="3">
        <v>0</v>
      </c>
      <c r="BB756" s="3">
        <v>0</v>
      </c>
      <c r="BC756" s="3">
        <v>0</v>
      </c>
      <c r="BD756" s="3">
        <f>SUM(AR756:BC756)</f>
        <v>125</v>
      </c>
    </row>
    <row r="757" spans="1:56" ht="13.5" thickBot="1" x14ac:dyDescent="0.35">
      <c r="A757" t="s">
        <v>361</v>
      </c>
      <c r="D757" s="8" t="s">
        <v>10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20992.34</v>
      </c>
      <c r="L757" s="12">
        <v>20992.34</v>
      </c>
      <c r="M757" s="12">
        <v>20992.34</v>
      </c>
      <c r="N757" s="12">
        <v>20992.34</v>
      </c>
      <c r="O757" s="12">
        <v>20992.34</v>
      </c>
      <c r="P757" s="12">
        <v>20992.36</v>
      </c>
      <c r="Q757" s="12">
        <f>SUM(E757:P757)</f>
        <v>125954.06</v>
      </c>
      <c r="R757" s="12">
        <v>19992.71</v>
      </c>
      <c r="S757" s="12">
        <v>19992.71</v>
      </c>
      <c r="T757" s="12">
        <v>19992.71</v>
      </c>
      <c r="U757" s="12">
        <v>19992.71</v>
      </c>
      <c r="V757" s="12">
        <v>19992.71</v>
      </c>
      <c r="W757" s="12">
        <v>19992.7</v>
      </c>
      <c r="X757" s="12">
        <v>19992.71</v>
      </c>
      <c r="Y757" s="12">
        <v>19992.71</v>
      </c>
      <c r="Z757" s="12">
        <v>19992.71</v>
      </c>
      <c r="AA757" s="12">
        <v>19992.71</v>
      </c>
      <c r="AB757" s="12">
        <v>19992.71</v>
      </c>
      <c r="AC757" s="12">
        <v>19992.7</v>
      </c>
      <c r="AD757" s="12">
        <f>SUM(R757:AC757)</f>
        <v>239912.49999999997</v>
      </c>
      <c r="AE757" s="12">
        <v>19992.71</v>
      </c>
      <c r="AF757" s="12">
        <v>19992.71</v>
      </c>
      <c r="AG757" s="12">
        <v>19992.71</v>
      </c>
      <c r="AH757" s="12">
        <v>19992.71</v>
      </c>
      <c r="AI757" s="12">
        <v>19992.71</v>
      </c>
      <c r="AJ757" s="12">
        <v>19992.7</v>
      </c>
      <c r="AK757" s="12">
        <v>19992.71</v>
      </c>
      <c r="AL757" s="12">
        <v>19992.71</v>
      </c>
      <c r="AM757" s="12">
        <v>19992.71</v>
      </c>
      <c r="AN757" s="12">
        <v>19992.71</v>
      </c>
      <c r="AO757" s="12">
        <v>19992.71</v>
      </c>
      <c r="AP757" s="12">
        <v>19992.7</v>
      </c>
      <c r="AQ757" s="3">
        <f>SUM(AE757:AP757)</f>
        <v>239912.49999999997</v>
      </c>
      <c r="AR757" s="3">
        <v>19992.71</v>
      </c>
      <c r="AS757" s="3">
        <v>19992.71</v>
      </c>
      <c r="AT757" s="3">
        <v>19992.71</v>
      </c>
      <c r="AU757" s="3">
        <v>19992.71</v>
      </c>
      <c r="AV757" s="3">
        <v>19992.71</v>
      </c>
      <c r="AW757" s="3">
        <v>19992.7</v>
      </c>
      <c r="AX757" s="3">
        <v>19992.71</v>
      </c>
      <c r="AY757" s="3">
        <v>19992.71</v>
      </c>
      <c r="AZ757" s="3">
        <v>19992.71</v>
      </c>
      <c r="BA757" s="3">
        <v>19992.71</v>
      </c>
      <c r="BB757" s="3">
        <v>19992.71</v>
      </c>
      <c r="BC757" s="3">
        <v>19992.7</v>
      </c>
      <c r="BD757" s="3">
        <f>SUM(AR757:BC757)</f>
        <v>239912.49999999997</v>
      </c>
    </row>
    <row r="758" spans="1:56" ht="13.5" thickBot="1" x14ac:dyDescent="0.35">
      <c r="D758" s="13" t="s">
        <v>362</v>
      </c>
      <c r="E758" s="14">
        <f t="shared" ref="E758:AC758" si="634">SUM(E755:E757)</f>
        <v>0</v>
      </c>
      <c r="F758" s="14">
        <f t="shared" si="634"/>
        <v>0</v>
      </c>
      <c r="G758" s="14">
        <f t="shared" si="634"/>
        <v>0</v>
      </c>
      <c r="H758" s="14">
        <f t="shared" si="634"/>
        <v>0</v>
      </c>
      <c r="I758" s="14">
        <f t="shared" si="634"/>
        <v>0</v>
      </c>
      <c r="J758" s="14">
        <f t="shared" si="634"/>
        <v>0</v>
      </c>
      <c r="K758" s="14">
        <f t="shared" si="634"/>
        <v>21054.84</v>
      </c>
      <c r="L758" s="14">
        <f t="shared" si="634"/>
        <v>20992.34</v>
      </c>
      <c r="M758" s="14">
        <f t="shared" si="634"/>
        <v>20992.34</v>
      </c>
      <c r="N758" s="14">
        <f t="shared" si="634"/>
        <v>20992.34</v>
      </c>
      <c r="O758" s="14">
        <f t="shared" si="634"/>
        <v>20992.34</v>
      </c>
      <c r="P758" s="14">
        <f t="shared" si="634"/>
        <v>20992.36</v>
      </c>
      <c r="Q758" s="14">
        <f t="shared" si="634"/>
        <v>126016.56</v>
      </c>
      <c r="R758" s="14">
        <f t="shared" si="634"/>
        <v>20117.71</v>
      </c>
      <c r="S758" s="14">
        <f t="shared" si="634"/>
        <v>19992.71</v>
      </c>
      <c r="T758" s="14">
        <f t="shared" si="634"/>
        <v>19992.71</v>
      </c>
      <c r="U758" s="14">
        <f t="shared" si="634"/>
        <v>19992.71</v>
      </c>
      <c r="V758" s="14">
        <f t="shared" si="634"/>
        <v>19992.71</v>
      </c>
      <c r="W758" s="14">
        <f t="shared" si="634"/>
        <v>19992.7</v>
      </c>
      <c r="X758" s="14">
        <f t="shared" si="634"/>
        <v>19992.71</v>
      </c>
      <c r="Y758" s="14">
        <f t="shared" si="634"/>
        <v>19992.71</v>
      </c>
      <c r="Z758" s="14">
        <f t="shared" si="634"/>
        <v>19992.71</v>
      </c>
      <c r="AA758" s="14">
        <f t="shared" si="634"/>
        <v>19992.71</v>
      </c>
      <c r="AB758" s="14">
        <f t="shared" si="634"/>
        <v>19992.71</v>
      </c>
      <c r="AC758" s="14">
        <f t="shared" si="634"/>
        <v>19992.7</v>
      </c>
      <c r="AD758" s="14">
        <f>SUM(AD755:AD757)</f>
        <v>240037.49999999997</v>
      </c>
      <c r="AE758" s="14">
        <f>SUM(AE755:AE757)</f>
        <v>20117.71</v>
      </c>
      <c r="AF758" s="14">
        <f>SUM(AF755:AF757)</f>
        <v>19992.71</v>
      </c>
      <c r="AG758" s="14">
        <f t="shared" ref="AG758:AP758" si="635">SUM(AG755:AG757)</f>
        <v>19992.71</v>
      </c>
      <c r="AH758" s="14">
        <f t="shared" si="635"/>
        <v>19992.71</v>
      </c>
      <c r="AI758" s="14">
        <f t="shared" si="635"/>
        <v>19992.71</v>
      </c>
      <c r="AJ758" s="14">
        <f t="shared" si="635"/>
        <v>19992.7</v>
      </c>
      <c r="AK758" s="14">
        <f t="shared" si="635"/>
        <v>19992.71</v>
      </c>
      <c r="AL758" s="14">
        <f t="shared" si="635"/>
        <v>19992.71</v>
      </c>
      <c r="AM758" s="14">
        <f t="shared" si="635"/>
        <v>19992.71</v>
      </c>
      <c r="AN758" s="14">
        <f t="shared" si="635"/>
        <v>19992.71</v>
      </c>
      <c r="AO758" s="14">
        <f t="shared" si="635"/>
        <v>19992.71</v>
      </c>
      <c r="AP758" s="14">
        <f t="shared" si="635"/>
        <v>19992.7</v>
      </c>
      <c r="AQ758" s="22">
        <f>SUM(AQ755:AQ757)</f>
        <v>240037.49999999997</v>
      </c>
      <c r="AR758" s="22">
        <f t="shared" ref="AR758:BD758" si="636">SUM(AR755:AR757)</f>
        <v>20117.71</v>
      </c>
      <c r="AS758" s="22">
        <f t="shared" si="636"/>
        <v>19992.71</v>
      </c>
      <c r="AT758" s="22">
        <f t="shared" si="636"/>
        <v>19992.71</v>
      </c>
      <c r="AU758" s="22">
        <f t="shared" si="636"/>
        <v>19992.71</v>
      </c>
      <c r="AV758" s="22">
        <f t="shared" si="636"/>
        <v>19992.71</v>
      </c>
      <c r="AW758" s="22">
        <f t="shared" si="636"/>
        <v>19992.7</v>
      </c>
      <c r="AX758" s="22">
        <f t="shared" si="636"/>
        <v>19992.71</v>
      </c>
      <c r="AY758" s="22">
        <f t="shared" si="636"/>
        <v>19992.71</v>
      </c>
      <c r="AZ758" s="22">
        <f t="shared" si="636"/>
        <v>19992.71</v>
      </c>
      <c r="BA758" s="22">
        <f t="shared" si="636"/>
        <v>19992.71</v>
      </c>
      <c r="BB758" s="22">
        <f t="shared" si="636"/>
        <v>19992.71</v>
      </c>
      <c r="BC758" s="22">
        <f t="shared" si="636"/>
        <v>19992.7</v>
      </c>
      <c r="BD758" s="22">
        <f t="shared" si="636"/>
        <v>240037.49999999997</v>
      </c>
    </row>
    <row r="759" spans="1:56" x14ac:dyDescent="0.3">
      <c r="D759" s="15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</row>
    <row r="760" spans="1:56" ht="15.5" x14ac:dyDescent="0.35">
      <c r="A760" s="33" t="s">
        <v>14</v>
      </c>
      <c r="B760" s="20">
        <f>B754</f>
        <v>91</v>
      </c>
      <c r="C760" s="1" t="s">
        <v>212</v>
      </c>
      <c r="D760" s="25" t="s">
        <v>363</v>
      </c>
    </row>
    <row r="761" spans="1:56" x14ac:dyDescent="0.3">
      <c r="D761" s="8" t="s">
        <v>8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f>SUM(E761:P761)</f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f>SUM(R761:AC761)</f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0</v>
      </c>
      <c r="AK761" s="12">
        <v>0</v>
      </c>
      <c r="AL761" s="12">
        <v>0</v>
      </c>
      <c r="AM761" s="12">
        <v>0</v>
      </c>
      <c r="AN761" s="12">
        <v>0</v>
      </c>
      <c r="AO761" s="12">
        <v>0</v>
      </c>
      <c r="AP761" s="12">
        <v>0</v>
      </c>
      <c r="AQ761" s="3">
        <f>SUM(AE761:AP761)</f>
        <v>0</v>
      </c>
      <c r="AR761" s="3">
        <v>0</v>
      </c>
      <c r="AS761" s="3">
        <v>0</v>
      </c>
      <c r="AT761" s="3">
        <v>0</v>
      </c>
      <c r="AU761" s="3">
        <v>0</v>
      </c>
      <c r="AV761" s="3">
        <v>0</v>
      </c>
      <c r="AW761" s="3">
        <v>0</v>
      </c>
      <c r="AX761" s="3">
        <v>0</v>
      </c>
      <c r="AY761" s="3">
        <v>0</v>
      </c>
      <c r="AZ761" s="3">
        <v>0</v>
      </c>
      <c r="BA761" s="3">
        <v>0</v>
      </c>
      <c r="BB761" s="3">
        <v>0</v>
      </c>
      <c r="BC761" s="3">
        <v>0</v>
      </c>
      <c r="BD761" s="3">
        <f>SUM(AR761:BC761)</f>
        <v>0</v>
      </c>
    </row>
    <row r="762" spans="1:56" x14ac:dyDescent="0.3">
      <c r="D762" s="8" t="s">
        <v>9</v>
      </c>
      <c r="E762" s="11"/>
      <c r="F762" s="11"/>
      <c r="I762" s="11"/>
      <c r="K762" s="11">
        <v>62.5</v>
      </c>
      <c r="Q762" s="12">
        <f>SUM(E762:P762)</f>
        <v>62.5</v>
      </c>
      <c r="R762" s="11">
        <v>125</v>
      </c>
      <c r="AD762" s="12">
        <f>SUM(R762:AC762)</f>
        <v>125</v>
      </c>
      <c r="AE762" s="11">
        <v>125</v>
      </c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3">
        <f>SUM(AE762:AP762)</f>
        <v>125</v>
      </c>
      <c r="AR762" s="3">
        <v>125</v>
      </c>
      <c r="AS762" s="3">
        <v>0</v>
      </c>
      <c r="AT762" s="3">
        <v>0</v>
      </c>
      <c r="AU762" s="3">
        <v>0</v>
      </c>
      <c r="AV762" s="3">
        <v>0</v>
      </c>
      <c r="AW762" s="3">
        <v>0</v>
      </c>
      <c r="AX762" s="3">
        <v>0</v>
      </c>
      <c r="AY762" s="3">
        <v>0</v>
      </c>
      <c r="AZ762" s="3">
        <v>0</v>
      </c>
      <c r="BA762" s="3">
        <v>0</v>
      </c>
      <c r="BB762" s="3">
        <v>0</v>
      </c>
      <c r="BC762" s="3">
        <v>0</v>
      </c>
      <c r="BD762" s="3">
        <f>SUM(AR762:BC762)</f>
        <v>125</v>
      </c>
    </row>
    <row r="763" spans="1:56" ht="13.5" thickBot="1" x14ac:dyDescent="0.35">
      <c r="A763" t="s">
        <v>364</v>
      </c>
      <c r="D763" s="8" t="s">
        <v>10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4186.88</v>
      </c>
      <c r="L763" s="12">
        <v>4186.88</v>
      </c>
      <c r="M763" s="12">
        <v>4186.88</v>
      </c>
      <c r="N763" s="12">
        <v>4186.88</v>
      </c>
      <c r="O763" s="12">
        <v>4186.88</v>
      </c>
      <c r="P763" s="12">
        <v>4186.8500000000004</v>
      </c>
      <c r="Q763" s="12">
        <f>SUM(E763:P763)</f>
        <v>25121.25</v>
      </c>
      <c r="R763" s="12">
        <v>3987.5</v>
      </c>
      <c r="S763" s="12">
        <v>3987.5</v>
      </c>
      <c r="T763" s="12">
        <v>3987.5</v>
      </c>
      <c r="U763" s="12">
        <v>3987.5</v>
      </c>
      <c r="V763" s="12">
        <v>3987.5</v>
      </c>
      <c r="W763" s="12">
        <v>3987.5</v>
      </c>
      <c r="X763" s="12">
        <v>3987.5</v>
      </c>
      <c r="Y763" s="12">
        <v>3987.5</v>
      </c>
      <c r="Z763" s="12">
        <v>3987.5</v>
      </c>
      <c r="AA763" s="12">
        <v>3987.5</v>
      </c>
      <c r="AB763" s="12">
        <v>3987.5</v>
      </c>
      <c r="AC763" s="12">
        <v>3987.5</v>
      </c>
      <c r="AD763" s="12">
        <f>SUM(R763:AC763)</f>
        <v>47850</v>
      </c>
      <c r="AE763" s="12">
        <v>3987.5</v>
      </c>
      <c r="AF763" s="12">
        <v>3987.5</v>
      </c>
      <c r="AG763" s="12">
        <v>3987.5</v>
      </c>
      <c r="AH763" s="12">
        <v>3987.5</v>
      </c>
      <c r="AI763" s="12">
        <v>3987.5</v>
      </c>
      <c r="AJ763" s="12">
        <v>3987.5</v>
      </c>
      <c r="AK763" s="12">
        <v>3987.5</v>
      </c>
      <c r="AL763" s="12">
        <v>3987.5</v>
      </c>
      <c r="AM763" s="12">
        <v>3987.5</v>
      </c>
      <c r="AN763" s="12">
        <v>3987.5</v>
      </c>
      <c r="AO763" s="12">
        <v>3987.5</v>
      </c>
      <c r="AP763" s="12">
        <v>3987.5</v>
      </c>
      <c r="AQ763" s="3">
        <f>SUM(AE763:AP763)</f>
        <v>47850</v>
      </c>
      <c r="AR763" s="3">
        <f>9583.33+3987.5</f>
        <v>13570.83</v>
      </c>
      <c r="AS763" s="3">
        <f t="shared" ref="AS763:BB763" si="637">9583.33+3987.5</f>
        <v>13570.83</v>
      </c>
      <c r="AT763" s="3">
        <f t="shared" si="637"/>
        <v>13570.83</v>
      </c>
      <c r="AU763" s="3">
        <f t="shared" si="637"/>
        <v>13570.83</v>
      </c>
      <c r="AV763" s="3">
        <f t="shared" si="637"/>
        <v>13570.83</v>
      </c>
      <c r="AW763" s="3">
        <f t="shared" si="637"/>
        <v>13570.83</v>
      </c>
      <c r="AX763" s="3">
        <f t="shared" si="637"/>
        <v>13570.83</v>
      </c>
      <c r="AY763" s="3">
        <f t="shared" si="637"/>
        <v>13570.83</v>
      </c>
      <c r="AZ763" s="3">
        <f t="shared" si="637"/>
        <v>13570.83</v>
      </c>
      <c r="BA763" s="3">
        <f t="shared" si="637"/>
        <v>13570.83</v>
      </c>
      <c r="BB763" s="3">
        <f t="shared" si="637"/>
        <v>13570.83</v>
      </c>
      <c r="BC763" s="3">
        <f>9583.37+3987.5</f>
        <v>13570.87</v>
      </c>
      <c r="BD763" s="3">
        <f>SUM(AR763:BC763)</f>
        <v>162849.99999999997</v>
      </c>
    </row>
    <row r="764" spans="1:56" ht="13.5" thickBot="1" x14ac:dyDescent="0.35">
      <c r="D764" s="13" t="s">
        <v>362</v>
      </c>
      <c r="E764" s="14">
        <f t="shared" ref="E764:AC764" si="638">SUM(E761:E763)</f>
        <v>0</v>
      </c>
      <c r="F764" s="14">
        <f t="shared" si="638"/>
        <v>0</v>
      </c>
      <c r="G764" s="14">
        <f t="shared" si="638"/>
        <v>0</v>
      </c>
      <c r="H764" s="14">
        <f t="shared" si="638"/>
        <v>0</v>
      </c>
      <c r="I764" s="14">
        <f t="shared" si="638"/>
        <v>0</v>
      </c>
      <c r="J764" s="14">
        <f t="shared" si="638"/>
        <v>0</v>
      </c>
      <c r="K764" s="14">
        <f t="shared" si="638"/>
        <v>4249.38</v>
      </c>
      <c r="L764" s="14">
        <f t="shared" si="638"/>
        <v>4186.88</v>
      </c>
      <c r="M764" s="14">
        <f t="shared" si="638"/>
        <v>4186.88</v>
      </c>
      <c r="N764" s="14">
        <f t="shared" si="638"/>
        <v>4186.88</v>
      </c>
      <c r="O764" s="14">
        <f t="shared" si="638"/>
        <v>4186.88</v>
      </c>
      <c r="P764" s="14">
        <f t="shared" si="638"/>
        <v>4186.8500000000004</v>
      </c>
      <c r="Q764" s="14">
        <f t="shared" si="638"/>
        <v>25183.75</v>
      </c>
      <c r="R764" s="14">
        <f t="shared" si="638"/>
        <v>4112.5</v>
      </c>
      <c r="S764" s="14">
        <f t="shared" si="638"/>
        <v>3987.5</v>
      </c>
      <c r="T764" s="14">
        <f t="shared" si="638"/>
        <v>3987.5</v>
      </c>
      <c r="U764" s="14">
        <f t="shared" si="638"/>
        <v>3987.5</v>
      </c>
      <c r="V764" s="14">
        <f t="shared" si="638"/>
        <v>3987.5</v>
      </c>
      <c r="W764" s="14">
        <f t="shared" si="638"/>
        <v>3987.5</v>
      </c>
      <c r="X764" s="14">
        <f t="shared" si="638"/>
        <v>3987.5</v>
      </c>
      <c r="Y764" s="14">
        <f t="shared" si="638"/>
        <v>3987.5</v>
      </c>
      <c r="Z764" s="14">
        <f t="shared" si="638"/>
        <v>3987.5</v>
      </c>
      <c r="AA764" s="14">
        <f t="shared" si="638"/>
        <v>3987.5</v>
      </c>
      <c r="AB764" s="14">
        <f t="shared" si="638"/>
        <v>3987.5</v>
      </c>
      <c r="AC764" s="14">
        <f t="shared" si="638"/>
        <v>3987.5</v>
      </c>
      <c r="AD764" s="14">
        <f>SUM(AD761:AD763)</f>
        <v>47975</v>
      </c>
      <c r="AE764" s="14">
        <f>SUM(AE761:AE763)</f>
        <v>4112.5</v>
      </c>
      <c r="AF764" s="14">
        <f>SUM(AF761:AF763)</f>
        <v>3987.5</v>
      </c>
      <c r="AG764" s="14">
        <f t="shared" ref="AG764:AP764" si="639">SUM(AG761:AG763)</f>
        <v>3987.5</v>
      </c>
      <c r="AH764" s="14">
        <f t="shared" si="639"/>
        <v>3987.5</v>
      </c>
      <c r="AI764" s="14">
        <f t="shared" si="639"/>
        <v>3987.5</v>
      </c>
      <c r="AJ764" s="14">
        <f t="shared" si="639"/>
        <v>3987.5</v>
      </c>
      <c r="AK764" s="14">
        <f t="shared" si="639"/>
        <v>3987.5</v>
      </c>
      <c r="AL764" s="14">
        <f t="shared" si="639"/>
        <v>3987.5</v>
      </c>
      <c r="AM764" s="14">
        <f t="shared" si="639"/>
        <v>3987.5</v>
      </c>
      <c r="AN764" s="14">
        <f t="shared" si="639"/>
        <v>3987.5</v>
      </c>
      <c r="AO764" s="14">
        <f t="shared" si="639"/>
        <v>3987.5</v>
      </c>
      <c r="AP764" s="14">
        <f t="shared" si="639"/>
        <v>3987.5</v>
      </c>
      <c r="AQ764" s="22">
        <f>SUM(AQ761:AQ763)</f>
        <v>47975</v>
      </c>
      <c r="AR764" s="22">
        <f t="shared" ref="AR764:BD764" si="640">SUM(AR761:AR763)</f>
        <v>13695.83</v>
      </c>
      <c r="AS764" s="22">
        <f t="shared" si="640"/>
        <v>13570.83</v>
      </c>
      <c r="AT764" s="22">
        <f t="shared" si="640"/>
        <v>13570.83</v>
      </c>
      <c r="AU764" s="22">
        <f t="shared" si="640"/>
        <v>13570.83</v>
      </c>
      <c r="AV764" s="22">
        <f t="shared" si="640"/>
        <v>13570.83</v>
      </c>
      <c r="AW764" s="22">
        <f t="shared" si="640"/>
        <v>13570.83</v>
      </c>
      <c r="AX764" s="22">
        <f t="shared" si="640"/>
        <v>13570.83</v>
      </c>
      <c r="AY764" s="22">
        <f t="shared" si="640"/>
        <v>13570.83</v>
      </c>
      <c r="AZ764" s="22">
        <f t="shared" si="640"/>
        <v>13570.83</v>
      </c>
      <c r="BA764" s="22">
        <f t="shared" si="640"/>
        <v>13570.83</v>
      </c>
      <c r="BB764" s="22">
        <f t="shared" si="640"/>
        <v>13570.83</v>
      </c>
      <c r="BC764" s="22">
        <f t="shared" si="640"/>
        <v>13570.87</v>
      </c>
      <c r="BD764" s="22">
        <f t="shared" si="640"/>
        <v>162974.99999999997</v>
      </c>
    </row>
    <row r="765" spans="1:56" x14ac:dyDescent="0.3">
      <c r="D765" s="15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</row>
    <row r="766" spans="1:56" ht="15.5" x14ac:dyDescent="0.35">
      <c r="B766" s="20">
        <f>+B760+1</f>
        <v>92</v>
      </c>
      <c r="C766" s="1" t="s">
        <v>14</v>
      </c>
      <c r="D766" s="25" t="s">
        <v>365</v>
      </c>
    </row>
    <row r="767" spans="1:56" x14ac:dyDescent="0.3">
      <c r="D767" s="8" t="s">
        <v>8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2">
        <v>0</v>
      </c>
      <c r="O767" s="12">
        <v>0</v>
      </c>
      <c r="P767" s="12">
        <v>0</v>
      </c>
      <c r="Q767" s="12">
        <f>SUM(E767:P767)</f>
        <v>0</v>
      </c>
      <c r="R767" s="12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f>SUM(R767:AC767)</f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12">
        <v>0</v>
      </c>
      <c r="AK767" s="12">
        <v>0</v>
      </c>
      <c r="AL767" s="12">
        <v>0</v>
      </c>
      <c r="AM767" s="12">
        <v>0</v>
      </c>
      <c r="AN767" s="12">
        <v>0</v>
      </c>
      <c r="AO767" s="12">
        <v>0</v>
      </c>
      <c r="AP767" s="12">
        <v>0</v>
      </c>
      <c r="AQ767" s="3">
        <f>SUM(AE767:AP767)</f>
        <v>0</v>
      </c>
      <c r="AR767" s="3">
        <v>0</v>
      </c>
      <c r="AS767" s="3">
        <v>0</v>
      </c>
      <c r="AT767" s="3">
        <v>0</v>
      </c>
      <c r="AU767" s="3">
        <v>0</v>
      </c>
      <c r="AV767" s="3">
        <v>0</v>
      </c>
      <c r="AW767" s="3">
        <v>0</v>
      </c>
      <c r="AX767" s="3">
        <v>0</v>
      </c>
      <c r="AY767" s="3">
        <v>0</v>
      </c>
      <c r="AZ767" s="3">
        <v>0</v>
      </c>
      <c r="BA767" s="3">
        <v>0</v>
      </c>
      <c r="BB767" s="3">
        <v>0</v>
      </c>
      <c r="BC767" s="3">
        <v>0</v>
      </c>
      <c r="BD767" s="3">
        <f>SUM(AR767:BC767)</f>
        <v>0</v>
      </c>
    </row>
    <row r="768" spans="1:56" x14ac:dyDescent="0.3">
      <c r="D768" s="8" t="s">
        <v>9</v>
      </c>
      <c r="E768" s="11"/>
      <c r="F768" s="11"/>
      <c r="I768" s="11"/>
      <c r="K768" s="11">
        <v>125</v>
      </c>
      <c r="Q768" s="12">
        <f>SUM(E768:P768)</f>
        <v>125</v>
      </c>
      <c r="R768" s="11">
        <v>250</v>
      </c>
      <c r="AD768" s="12">
        <f>SUM(R768:AC768)</f>
        <v>250</v>
      </c>
      <c r="AE768" s="11">
        <v>250</v>
      </c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3">
        <f>SUM(AE768:AP768)</f>
        <v>250</v>
      </c>
      <c r="AR768" s="3">
        <v>250</v>
      </c>
      <c r="AS768" s="3">
        <v>0</v>
      </c>
      <c r="AT768" s="3">
        <v>0</v>
      </c>
      <c r="AU768" s="3">
        <v>0</v>
      </c>
      <c r="AV768" s="3">
        <v>0</v>
      </c>
      <c r="AW768" s="3">
        <v>0</v>
      </c>
      <c r="AX768" s="3">
        <v>0</v>
      </c>
      <c r="AY768" s="3">
        <v>0</v>
      </c>
      <c r="AZ768" s="3">
        <v>0</v>
      </c>
      <c r="BA768" s="3">
        <v>0</v>
      </c>
      <c r="BB768" s="3">
        <v>0</v>
      </c>
      <c r="BC768" s="3">
        <v>0</v>
      </c>
      <c r="BD768" s="3">
        <f>SUM(AR768:BC768)</f>
        <v>250</v>
      </c>
    </row>
    <row r="769" spans="1:56" ht="13.5" thickBot="1" x14ac:dyDescent="0.35">
      <c r="A769" t="s">
        <v>366</v>
      </c>
      <c r="D769" s="8" t="s">
        <v>10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f>22500+79317.45</f>
        <v>101817.45</v>
      </c>
      <c r="L769" s="12">
        <f>22500+79317.45</f>
        <v>101817.45</v>
      </c>
      <c r="M769" s="12">
        <f>22500+79317.45</f>
        <v>101817.45</v>
      </c>
      <c r="N769" s="12">
        <f>22500+79317.45</f>
        <v>101817.45</v>
      </c>
      <c r="O769" s="12">
        <f>22500+79317.45</f>
        <v>101817.45</v>
      </c>
      <c r="P769" s="12">
        <f>22500+79317.47</f>
        <v>101817.47</v>
      </c>
      <c r="Q769" s="12">
        <f>SUM(E769:P769)</f>
        <v>610904.72</v>
      </c>
      <c r="R769" s="11">
        <f>23750+77883.33</f>
        <v>101633.33</v>
      </c>
      <c r="S769" s="11">
        <f t="shared" ref="S769:AB769" si="641">23750+77883.33</f>
        <v>101633.33</v>
      </c>
      <c r="T769" s="11">
        <f t="shared" si="641"/>
        <v>101633.33</v>
      </c>
      <c r="U769" s="11">
        <f t="shared" si="641"/>
        <v>101633.33</v>
      </c>
      <c r="V769" s="11">
        <f t="shared" si="641"/>
        <v>101633.33</v>
      </c>
      <c r="W769" s="11">
        <f>23750+77883.35</f>
        <v>101633.35</v>
      </c>
      <c r="X769" s="11">
        <f t="shared" si="641"/>
        <v>101633.33</v>
      </c>
      <c r="Y769" s="11">
        <f t="shared" si="641"/>
        <v>101633.33</v>
      </c>
      <c r="Z769" s="11">
        <f t="shared" si="641"/>
        <v>101633.33</v>
      </c>
      <c r="AA769" s="11">
        <f t="shared" si="641"/>
        <v>101633.33</v>
      </c>
      <c r="AB769" s="11">
        <f t="shared" si="641"/>
        <v>101633.33</v>
      </c>
      <c r="AC769" s="11">
        <f>23750+77883.35</f>
        <v>101633.35</v>
      </c>
      <c r="AD769" s="12">
        <f>SUM(R769:AC769)</f>
        <v>1219600</v>
      </c>
      <c r="AE769" s="12">
        <f>25000+76695.83</f>
        <v>101695.83</v>
      </c>
      <c r="AF769" s="12">
        <f t="shared" ref="AF769:AO769" si="642">25000+76695.83</f>
        <v>101695.83</v>
      </c>
      <c r="AG769" s="12">
        <f t="shared" si="642"/>
        <v>101695.83</v>
      </c>
      <c r="AH769" s="12">
        <f t="shared" si="642"/>
        <v>101695.83</v>
      </c>
      <c r="AI769" s="12">
        <f t="shared" si="642"/>
        <v>101695.83</v>
      </c>
      <c r="AJ769" s="12">
        <f>25000+76695.85</f>
        <v>101695.85</v>
      </c>
      <c r="AK769" s="12">
        <f t="shared" si="642"/>
        <v>101695.83</v>
      </c>
      <c r="AL769" s="12">
        <f t="shared" si="642"/>
        <v>101695.83</v>
      </c>
      <c r="AM769" s="12">
        <f t="shared" si="642"/>
        <v>101695.83</v>
      </c>
      <c r="AN769" s="12">
        <f t="shared" si="642"/>
        <v>101695.83</v>
      </c>
      <c r="AO769" s="12">
        <f t="shared" si="642"/>
        <v>101695.83</v>
      </c>
      <c r="AP769" s="12">
        <f>25000+76695.85</f>
        <v>101695.85</v>
      </c>
      <c r="AQ769" s="3">
        <f>SUM(AE769:AP769)</f>
        <v>1220350</v>
      </c>
      <c r="AR769" s="3">
        <f>25833.33+75445.83</f>
        <v>101279.16</v>
      </c>
      <c r="AS769" s="3">
        <f t="shared" ref="AS769:AV769" si="643">25833.33+75445.83</f>
        <v>101279.16</v>
      </c>
      <c r="AT769" s="3">
        <f t="shared" si="643"/>
        <v>101279.16</v>
      </c>
      <c r="AU769" s="3">
        <f t="shared" si="643"/>
        <v>101279.16</v>
      </c>
      <c r="AV769" s="3">
        <f t="shared" si="643"/>
        <v>101279.16</v>
      </c>
      <c r="AW769" s="3">
        <f>25833.33+75445.85</f>
        <v>101279.18000000001</v>
      </c>
      <c r="AX769" s="3">
        <f>25833.33+75445.83</f>
        <v>101279.16</v>
      </c>
      <c r="AY769" s="3">
        <f t="shared" ref="AY769:BB769" si="644">25833.33+75445.83</f>
        <v>101279.16</v>
      </c>
      <c r="AZ769" s="3">
        <f t="shared" si="644"/>
        <v>101279.16</v>
      </c>
      <c r="BA769" s="3">
        <f t="shared" si="644"/>
        <v>101279.16</v>
      </c>
      <c r="BB769" s="3">
        <f t="shared" si="644"/>
        <v>101279.16</v>
      </c>
      <c r="BC769" s="3">
        <f>25833.37+75445.85</f>
        <v>101279.22</v>
      </c>
      <c r="BD769" s="3">
        <f>SUM(AR769:BC769)</f>
        <v>1215350.0000000002</v>
      </c>
    </row>
    <row r="770" spans="1:56" ht="13.5" thickBot="1" x14ac:dyDescent="0.35">
      <c r="D770" s="13" t="s">
        <v>367</v>
      </c>
      <c r="E770" s="14">
        <f t="shared" ref="E770:AC770" si="645">SUM(E767:E769)</f>
        <v>0</v>
      </c>
      <c r="F770" s="14">
        <f t="shared" si="645"/>
        <v>0</v>
      </c>
      <c r="G770" s="14">
        <f t="shared" si="645"/>
        <v>0</v>
      </c>
      <c r="H770" s="14">
        <f t="shared" si="645"/>
        <v>0</v>
      </c>
      <c r="I770" s="14">
        <f t="shared" si="645"/>
        <v>0</v>
      </c>
      <c r="J770" s="14">
        <f t="shared" si="645"/>
        <v>0</v>
      </c>
      <c r="K770" s="14">
        <f t="shared" si="645"/>
        <v>101942.45</v>
      </c>
      <c r="L770" s="14">
        <f t="shared" si="645"/>
        <v>101817.45</v>
      </c>
      <c r="M770" s="14">
        <f t="shared" si="645"/>
        <v>101817.45</v>
      </c>
      <c r="N770" s="14">
        <f t="shared" si="645"/>
        <v>101817.45</v>
      </c>
      <c r="O770" s="14">
        <f t="shared" si="645"/>
        <v>101817.45</v>
      </c>
      <c r="P770" s="14">
        <f t="shared" si="645"/>
        <v>101817.47</v>
      </c>
      <c r="Q770" s="14">
        <f t="shared" si="645"/>
        <v>611029.72</v>
      </c>
      <c r="R770" s="14">
        <f t="shared" si="645"/>
        <v>101883.33</v>
      </c>
      <c r="S770" s="14">
        <f t="shared" si="645"/>
        <v>101633.33</v>
      </c>
      <c r="T770" s="14">
        <f t="shared" si="645"/>
        <v>101633.33</v>
      </c>
      <c r="U770" s="14">
        <f t="shared" si="645"/>
        <v>101633.33</v>
      </c>
      <c r="V770" s="14">
        <f t="shared" si="645"/>
        <v>101633.33</v>
      </c>
      <c r="W770" s="14">
        <f t="shared" si="645"/>
        <v>101633.35</v>
      </c>
      <c r="X770" s="14">
        <f t="shared" si="645"/>
        <v>101633.33</v>
      </c>
      <c r="Y770" s="14">
        <f t="shared" si="645"/>
        <v>101633.33</v>
      </c>
      <c r="Z770" s="14">
        <f t="shared" si="645"/>
        <v>101633.33</v>
      </c>
      <c r="AA770" s="14">
        <f t="shared" si="645"/>
        <v>101633.33</v>
      </c>
      <c r="AB770" s="14">
        <f t="shared" si="645"/>
        <v>101633.33</v>
      </c>
      <c r="AC770" s="14">
        <f t="shared" si="645"/>
        <v>101633.35</v>
      </c>
      <c r="AD770" s="14">
        <f>SUM(AD767:AD769)</f>
        <v>1219850</v>
      </c>
      <c r="AE770" s="14">
        <f>SUM(AE767:AE769)</f>
        <v>101945.83</v>
      </c>
      <c r="AF770" s="14">
        <f>SUM(AF767:AF769)</f>
        <v>101695.83</v>
      </c>
      <c r="AG770" s="14">
        <f t="shared" ref="AG770:AP770" si="646">SUM(AG767:AG769)</f>
        <v>101695.83</v>
      </c>
      <c r="AH770" s="14">
        <f t="shared" si="646"/>
        <v>101695.83</v>
      </c>
      <c r="AI770" s="14">
        <f t="shared" si="646"/>
        <v>101695.83</v>
      </c>
      <c r="AJ770" s="14">
        <f t="shared" si="646"/>
        <v>101695.85</v>
      </c>
      <c r="AK770" s="14">
        <f t="shared" si="646"/>
        <v>101695.83</v>
      </c>
      <c r="AL770" s="14">
        <f t="shared" si="646"/>
        <v>101695.83</v>
      </c>
      <c r="AM770" s="14">
        <f t="shared" si="646"/>
        <v>101695.83</v>
      </c>
      <c r="AN770" s="14">
        <f t="shared" si="646"/>
        <v>101695.83</v>
      </c>
      <c r="AO770" s="14">
        <f t="shared" si="646"/>
        <v>101695.83</v>
      </c>
      <c r="AP770" s="14">
        <f t="shared" si="646"/>
        <v>101695.85</v>
      </c>
      <c r="AQ770" s="22">
        <f>SUM(AQ767:AQ769)</f>
        <v>1220600</v>
      </c>
      <c r="AR770" s="22">
        <f t="shared" ref="AR770:BD770" si="647">SUM(AR767:AR769)</f>
        <v>101529.16</v>
      </c>
      <c r="AS770" s="22">
        <f t="shared" si="647"/>
        <v>101279.16</v>
      </c>
      <c r="AT770" s="22">
        <f t="shared" si="647"/>
        <v>101279.16</v>
      </c>
      <c r="AU770" s="22">
        <f t="shared" si="647"/>
        <v>101279.16</v>
      </c>
      <c r="AV770" s="22">
        <f t="shared" si="647"/>
        <v>101279.16</v>
      </c>
      <c r="AW770" s="22">
        <f t="shared" si="647"/>
        <v>101279.18000000001</v>
      </c>
      <c r="AX770" s="22">
        <f t="shared" si="647"/>
        <v>101279.16</v>
      </c>
      <c r="AY770" s="22">
        <f t="shared" si="647"/>
        <v>101279.16</v>
      </c>
      <c r="AZ770" s="22">
        <f t="shared" si="647"/>
        <v>101279.16</v>
      </c>
      <c r="BA770" s="22">
        <f t="shared" si="647"/>
        <v>101279.16</v>
      </c>
      <c r="BB770" s="22">
        <f t="shared" si="647"/>
        <v>101279.16</v>
      </c>
      <c r="BC770" s="22">
        <f t="shared" si="647"/>
        <v>101279.22</v>
      </c>
      <c r="BD770" s="22">
        <f t="shared" si="647"/>
        <v>1215600.0000000002</v>
      </c>
    </row>
    <row r="771" spans="1:56" x14ac:dyDescent="0.3">
      <c r="D771" s="15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</row>
    <row r="772" spans="1:56" ht="15.5" x14ac:dyDescent="0.35">
      <c r="B772" s="20">
        <f>+B766+1</f>
        <v>93</v>
      </c>
      <c r="C772" s="1" t="s">
        <v>14</v>
      </c>
      <c r="D772" s="25" t="s">
        <v>368</v>
      </c>
    </row>
    <row r="773" spans="1:56" x14ac:dyDescent="0.3">
      <c r="D773" s="8" t="s">
        <v>8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f>SUM(E773:P773)</f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f>SUM(R773:AC773)</f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0</v>
      </c>
      <c r="AJ773" s="12">
        <v>0</v>
      </c>
      <c r="AK773" s="12">
        <v>0</v>
      </c>
      <c r="AL773" s="12">
        <v>0</v>
      </c>
      <c r="AM773" s="12">
        <v>0</v>
      </c>
      <c r="AN773" s="12">
        <v>0</v>
      </c>
      <c r="AO773" s="12">
        <v>0</v>
      </c>
      <c r="AP773" s="12">
        <v>0</v>
      </c>
      <c r="AQ773" s="3">
        <f>SUM(AE773:AP773)</f>
        <v>0</v>
      </c>
      <c r="AR773" s="3">
        <v>0</v>
      </c>
      <c r="AS773" s="3">
        <v>0</v>
      </c>
      <c r="AT773" s="3">
        <v>0</v>
      </c>
      <c r="AU773" s="3">
        <v>0</v>
      </c>
      <c r="AV773" s="3">
        <v>0</v>
      </c>
      <c r="AW773" s="3">
        <v>0</v>
      </c>
      <c r="AX773" s="3">
        <v>0</v>
      </c>
      <c r="AY773" s="3">
        <v>0</v>
      </c>
      <c r="AZ773" s="3">
        <v>0</v>
      </c>
      <c r="BA773" s="3">
        <v>0</v>
      </c>
      <c r="BB773" s="3">
        <v>0</v>
      </c>
      <c r="BC773" s="3">
        <v>0</v>
      </c>
      <c r="BD773" s="3">
        <f>SUM(AR773:BC773)</f>
        <v>0</v>
      </c>
    </row>
    <row r="774" spans="1:56" x14ac:dyDescent="0.3">
      <c r="D774" s="8" t="s">
        <v>9</v>
      </c>
      <c r="E774" s="11"/>
      <c r="F774" s="11"/>
      <c r="I774" s="11"/>
      <c r="K774" s="11"/>
      <c r="L774" s="11">
        <v>104.17</v>
      </c>
      <c r="Q774" s="12">
        <f>SUM(E774:P774)</f>
        <v>104.17</v>
      </c>
      <c r="R774" s="11">
        <v>250</v>
      </c>
      <c r="AD774" s="12">
        <f>SUM(R774:AC774)</f>
        <v>250</v>
      </c>
      <c r="AE774" s="11">
        <v>250</v>
      </c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3">
        <f>SUM(AE774:AP774)</f>
        <v>250</v>
      </c>
      <c r="AR774" s="3">
        <v>250</v>
      </c>
      <c r="AS774" s="3">
        <v>0</v>
      </c>
      <c r="AT774" s="3">
        <v>0</v>
      </c>
      <c r="AU774" s="3">
        <v>0</v>
      </c>
      <c r="AV774" s="3">
        <v>0</v>
      </c>
      <c r="AW774" s="3">
        <v>0</v>
      </c>
      <c r="AX774" s="3">
        <v>0</v>
      </c>
      <c r="AY774" s="3">
        <v>0</v>
      </c>
      <c r="AZ774" s="3">
        <v>0</v>
      </c>
      <c r="BA774" s="3">
        <v>0</v>
      </c>
      <c r="BB774" s="3">
        <v>0</v>
      </c>
      <c r="BC774" s="3">
        <v>0</v>
      </c>
      <c r="BD774" s="3">
        <f>SUM(AR774:BC774)</f>
        <v>250</v>
      </c>
    </row>
    <row r="775" spans="1:56" ht="13.5" thickBot="1" x14ac:dyDescent="0.35">
      <c r="A775" t="s">
        <v>369</v>
      </c>
      <c r="D775" s="8" t="s">
        <v>10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39475.339999999997</v>
      </c>
      <c r="M775" s="12">
        <v>39475.339999999997</v>
      </c>
      <c r="N775" s="12">
        <v>39475.339999999997</v>
      </c>
      <c r="O775" s="12">
        <v>39475.339999999997</v>
      </c>
      <c r="P775" s="12">
        <v>39475.31</v>
      </c>
      <c r="Q775" s="12">
        <f>SUM(E775:P775)</f>
        <v>197376.66999999998</v>
      </c>
      <c r="R775" s="12">
        <v>38450</v>
      </c>
      <c r="S775" s="12">
        <v>38450</v>
      </c>
      <c r="T775" s="12">
        <v>38450</v>
      </c>
      <c r="U775" s="12">
        <v>38450</v>
      </c>
      <c r="V775" s="12">
        <v>38450</v>
      </c>
      <c r="W775" s="12">
        <v>38450</v>
      </c>
      <c r="X775" s="12">
        <f t="shared" ref="X775:AI775" si="648">10416.67+38450</f>
        <v>48866.67</v>
      </c>
      <c r="Y775" s="12">
        <f t="shared" si="648"/>
        <v>48866.67</v>
      </c>
      <c r="Z775" s="12">
        <f t="shared" si="648"/>
        <v>48866.67</v>
      </c>
      <c r="AA775" s="12">
        <f t="shared" si="648"/>
        <v>48866.67</v>
      </c>
      <c r="AB775" s="12">
        <f t="shared" si="648"/>
        <v>48866.67</v>
      </c>
      <c r="AC775" s="12">
        <f t="shared" si="648"/>
        <v>48866.67</v>
      </c>
      <c r="AD775" s="12">
        <f>SUM(R775:AC775)</f>
        <v>523900.0199999999</v>
      </c>
      <c r="AE775" s="12">
        <f t="shared" si="648"/>
        <v>48866.67</v>
      </c>
      <c r="AF775" s="12">
        <f t="shared" si="648"/>
        <v>48866.67</v>
      </c>
      <c r="AG775" s="12">
        <f t="shared" si="648"/>
        <v>48866.67</v>
      </c>
      <c r="AH775" s="12">
        <f t="shared" si="648"/>
        <v>48866.67</v>
      </c>
      <c r="AI775" s="12">
        <f t="shared" si="648"/>
        <v>48866.67</v>
      </c>
      <c r="AJ775" s="12">
        <f>10416.63+38450</f>
        <v>48866.63</v>
      </c>
      <c r="AK775" s="12">
        <f t="shared" ref="AK775:AP775" si="649">10833.34+38033.34</f>
        <v>48866.679999999993</v>
      </c>
      <c r="AL775" s="12">
        <f t="shared" si="649"/>
        <v>48866.679999999993</v>
      </c>
      <c r="AM775" s="12">
        <f t="shared" si="649"/>
        <v>48866.679999999993</v>
      </c>
      <c r="AN775" s="12">
        <f t="shared" si="649"/>
        <v>48866.679999999993</v>
      </c>
      <c r="AO775" s="12">
        <f t="shared" si="649"/>
        <v>48866.679999999993</v>
      </c>
      <c r="AP775" s="12">
        <f t="shared" si="649"/>
        <v>48866.679999999993</v>
      </c>
      <c r="AQ775" s="3">
        <f>SUM(AE775:AP775)</f>
        <v>586400.05999999982</v>
      </c>
      <c r="AR775" s="3">
        <f>10833.34+38033.34</f>
        <v>48866.679999999993</v>
      </c>
      <c r="AS775" s="3">
        <f t="shared" ref="AS775:AV775" si="650">10833.34+38033.34</f>
        <v>48866.679999999993</v>
      </c>
      <c r="AT775" s="3">
        <f t="shared" si="650"/>
        <v>48866.679999999993</v>
      </c>
      <c r="AU775" s="3">
        <f t="shared" si="650"/>
        <v>48866.679999999993</v>
      </c>
      <c r="AV775" s="3">
        <f t="shared" si="650"/>
        <v>48866.679999999993</v>
      </c>
      <c r="AW775" s="3">
        <f>10833.26+38033.26</f>
        <v>48866.520000000004</v>
      </c>
      <c r="AX775" s="3">
        <f>11666.67+37600</f>
        <v>49266.67</v>
      </c>
      <c r="AY775" s="3">
        <f t="shared" ref="AY775:BC775" si="651">11666.67+37600</f>
        <v>49266.67</v>
      </c>
      <c r="AZ775" s="3">
        <f t="shared" si="651"/>
        <v>49266.67</v>
      </c>
      <c r="BA775" s="3">
        <f t="shared" si="651"/>
        <v>49266.67</v>
      </c>
      <c r="BB775" s="3">
        <f t="shared" si="651"/>
        <v>49266.67</v>
      </c>
      <c r="BC775" s="3">
        <f t="shared" si="651"/>
        <v>49266.67</v>
      </c>
      <c r="BD775" s="3">
        <f>SUM(AR775:BC775)</f>
        <v>588799.93999999994</v>
      </c>
    </row>
    <row r="776" spans="1:56" ht="13.5" thickBot="1" x14ac:dyDescent="0.35">
      <c r="D776" s="13" t="s">
        <v>261</v>
      </c>
      <c r="E776" s="14">
        <f t="shared" ref="E776:AC776" si="652">SUM(E773:E775)</f>
        <v>0</v>
      </c>
      <c r="F776" s="14">
        <f t="shared" si="652"/>
        <v>0</v>
      </c>
      <c r="G776" s="14">
        <f t="shared" si="652"/>
        <v>0</v>
      </c>
      <c r="H776" s="14">
        <f t="shared" si="652"/>
        <v>0</v>
      </c>
      <c r="I776" s="14">
        <f t="shared" si="652"/>
        <v>0</v>
      </c>
      <c r="J776" s="14">
        <f t="shared" si="652"/>
        <v>0</v>
      </c>
      <c r="K776" s="14">
        <f t="shared" si="652"/>
        <v>0</v>
      </c>
      <c r="L776" s="14">
        <f t="shared" si="652"/>
        <v>39579.509999999995</v>
      </c>
      <c r="M776" s="14">
        <f t="shared" si="652"/>
        <v>39475.339999999997</v>
      </c>
      <c r="N776" s="14">
        <f t="shared" si="652"/>
        <v>39475.339999999997</v>
      </c>
      <c r="O776" s="14">
        <f t="shared" si="652"/>
        <v>39475.339999999997</v>
      </c>
      <c r="P776" s="14">
        <f t="shared" si="652"/>
        <v>39475.31</v>
      </c>
      <c r="Q776" s="14">
        <f t="shared" si="652"/>
        <v>197480.84</v>
      </c>
      <c r="R776" s="14">
        <f t="shared" si="652"/>
        <v>38700</v>
      </c>
      <c r="S776" s="14">
        <f t="shared" si="652"/>
        <v>38450</v>
      </c>
      <c r="T776" s="14">
        <f t="shared" si="652"/>
        <v>38450</v>
      </c>
      <c r="U776" s="14">
        <f t="shared" si="652"/>
        <v>38450</v>
      </c>
      <c r="V776" s="14">
        <f t="shared" si="652"/>
        <v>38450</v>
      </c>
      <c r="W776" s="14">
        <f t="shared" si="652"/>
        <v>38450</v>
      </c>
      <c r="X776" s="14">
        <f t="shared" si="652"/>
        <v>48866.67</v>
      </c>
      <c r="Y776" s="14">
        <f t="shared" si="652"/>
        <v>48866.67</v>
      </c>
      <c r="Z776" s="14">
        <f t="shared" si="652"/>
        <v>48866.67</v>
      </c>
      <c r="AA776" s="14">
        <f t="shared" si="652"/>
        <v>48866.67</v>
      </c>
      <c r="AB776" s="14">
        <f t="shared" si="652"/>
        <v>48866.67</v>
      </c>
      <c r="AC776" s="14">
        <f t="shared" si="652"/>
        <v>48866.67</v>
      </c>
      <c r="AD776" s="14">
        <f>SUM(AD773:AD775)</f>
        <v>524150.0199999999</v>
      </c>
      <c r="AE776" s="14">
        <f>SUM(AE773:AE775)</f>
        <v>49116.67</v>
      </c>
      <c r="AF776" s="14">
        <f>SUM(AF773:AF775)</f>
        <v>48866.67</v>
      </c>
      <c r="AG776" s="14">
        <f t="shared" ref="AG776:AP776" si="653">SUM(AG773:AG775)</f>
        <v>48866.67</v>
      </c>
      <c r="AH776" s="14">
        <f t="shared" si="653"/>
        <v>48866.67</v>
      </c>
      <c r="AI776" s="14">
        <f t="shared" si="653"/>
        <v>48866.67</v>
      </c>
      <c r="AJ776" s="14">
        <f t="shared" si="653"/>
        <v>48866.63</v>
      </c>
      <c r="AK776" s="14">
        <f t="shared" si="653"/>
        <v>48866.679999999993</v>
      </c>
      <c r="AL776" s="14">
        <f t="shared" si="653"/>
        <v>48866.679999999993</v>
      </c>
      <c r="AM776" s="14">
        <f t="shared" si="653"/>
        <v>48866.679999999993</v>
      </c>
      <c r="AN776" s="14">
        <f t="shared" si="653"/>
        <v>48866.679999999993</v>
      </c>
      <c r="AO776" s="14">
        <f t="shared" si="653"/>
        <v>48866.679999999993</v>
      </c>
      <c r="AP776" s="14">
        <f t="shared" si="653"/>
        <v>48866.679999999993</v>
      </c>
      <c r="AQ776" s="22">
        <f>SUM(AQ773:AQ775)</f>
        <v>586650.05999999982</v>
      </c>
      <c r="AR776" s="22">
        <f t="shared" ref="AR776:BD776" si="654">SUM(AR773:AR775)</f>
        <v>49116.679999999993</v>
      </c>
      <c r="AS776" s="22">
        <f t="shared" si="654"/>
        <v>48866.679999999993</v>
      </c>
      <c r="AT776" s="22">
        <f t="shared" si="654"/>
        <v>48866.679999999993</v>
      </c>
      <c r="AU776" s="22">
        <f t="shared" si="654"/>
        <v>48866.679999999993</v>
      </c>
      <c r="AV776" s="22">
        <f t="shared" si="654"/>
        <v>48866.679999999993</v>
      </c>
      <c r="AW776" s="22">
        <f t="shared" si="654"/>
        <v>48866.520000000004</v>
      </c>
      <c r="AX776" s="22">
        <f t="shared" si="654"/>
        <v>49266.67</v>
      </c>
      <c r="AY776" s="22">
        <f t="shared" si="654"/>
        <v>49266.67</v>
      </c>
      <c r="AZ776" s="22">
        <f t="shared" si="654"/>
        <v>49266.67</v>
      </c>
      <c r="BA776" s="22">
        <f t="shared" si="654"/>
        <v>49266.67</v>
      </c>
      <c r="BB776" s="22">
        <f t="shared" si="654"/>
        <v>49266.67</v>
      </c>
      <c r="BC776" s="22">
        <f t="shared" si="654"/>
        <v>49266.67</v>
      </c>
      <c r="BD776" s="22">
        <f t="shared" si="654"/>
        <v>589049.93999999994</v>
      </c>
    </row>
    <row r="777" spans="1:56" x14ac:dyDescent="0.3">
      <c r="D777" s="15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</row>
    <row r="778" spans="1:56" ht="15.5" x14ac:dyDescent="0.35">
      <c r="B778" s="20">
        <f>+B772+1</f>
        <v>94</v>
      </c>
      <c r="C778" s="1" t="s">
        <v>14</v>
      </c>
      <c r="D778" s="25" t="s">
        <v>370</v>
      </c>
    </row>
    <row r="779" spans="1:56" x14ac:dyDescent="0.3">
      <c r="D779" s="8" t="s">
        <v>8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820.91</v>
      </c>
      <c r="M779" s="12">
        <v>820.91</v>
      </c>
      <c r="N779" s="12">
        <v>820.91</v>
      </c>
      <c r="O779" s="12">
        <v>820.91</v>
      </c>
      <c r="P779" s="12">
        <v>820.91</v>
      </c>
      <c r="Q779" s="12">
        <f>SUM(E779:P779)</f>
        <v>4104.55</v>
      </c>
      <c r="R779" s="12">
        <v>820.91</v>
      </c>
      <c r="S779" s="12">
        <v>820.91</v>
      </c>
      <c r="T779" s="12">
        <v>820.91</v>
      </c>
      <c r="U779" s="12">
        <v>820.91</v>
      </c>
      <c r="V779" s="12">
        <v>820.91</v>
      </c>
      <c r="W779" s="12">
        <v>820.91</v>
      </c>
      <c r="X779" s="12">
        <v>752.5</v>
      </c>
      <c r="Y779" s="12">
        <v>752.5</v>
      </c>
      <c r="Z779" s="12">
        <v>752.5</v>
      </c>
      <c r="AA779" s="12">
        <v>752.5</v>
      </c>
      <c r="AB779" s="12">
        <v>752.5</v>
      </c>
      <c r="AC779" s="12">
        <v>752.5</v>
      </c>
      <c r="AD779" s="12">
        <f>SUM(R779:AC779)</f>
        <v>9440.4599999999991</v>
      </c>
      <c r="AE779" s="12">
        <v>752.5</v>
      </c>
      <c r="AF779" s="12">
        <v>752.5</v>
      </c>
      <c r="AG779" s="12">
        <v>752.5</v>
      </c>
      <c r="AH779" s="12">
        <v>752.5</v>
      </c>
      <c r="AI779" s="12">
        <v>752.5</v>
      </c>
      <c r="AJ779" s="12">
        <v>752.5</v>
      </c>
      <c r="AK779" s="12">
        <v>741.25</v>
      </c>
      <c r="AL779" s="12">
        <v>741.25</v>
      </c>
      <c r="AM779" s="12">
        <v>741.25</v>
      </c>
      <c r="AN779" s="12">
        <v>741.25</v>
      </c>
      <c r="AO779" s="12">
        <v>741.25</v>
      </c>
      <c r="AP779" s="12">
        <v>741.25</v>
      </c>
      <c r="AQ779" s="3">
        <f>SUM(AE779:AP779)</f>
        <v>8962.5</v>
      </c>
      <c r="AR779" s="3">
        <v>741.25</v>
      </c>
      <c r="AS779" s="3">
        <v>741.25</v>
      </c>
      <c r="AT779" s="3">
        <v>741.25</v>
      </c>
      <c r="AU779" s="3">
        <v>741.25</v>
      </c>
      <c r="AV779" s="3">
        <v>741.25</v>
      </c>
      <c r="AW779" s="3">
        <v>741.25</v>
      </c>
      <c r="AX779" s="3">
        <v>729.58</v>
      </c>
      <c r="AY779" s="3">
        <v>729.58</v>
      </c>
      <c r="AZ779" s="3">
        <v>729.58</v>
      </c>
      <c r="BA779" s="3">
        <v>729.58</v>
      </c>
      <c r="BB779" s="3">
        <v>729.58</v>
      </c>
      <c r="BC779" s="3">
        <v>729.58</v>
      </c>
      <c r="BD779" s="3">
        <f>SUM(AR779:BC779)</f>
        <v>8824.98</v>
      </c>
    </row>
    <row r="780" spans="1:56" x14ac:dyDescent="0.3">
      <c r="D780" s="8" t="s">
        <v>9</v>
      </c>
      <c r="E780" s="11"/>
      <c r="F780" s="11"/>
      <c r="I780" s="11"/>
      <c r="K780" s="11"/>
      <c r="L780" s="11">
        <v>104.17</v>
      </c>
      <c r="Q780" s="12">
        <f>SUM(E780:P780)</f>
        <v>104.17</v>
      </c>
      <c r="R780" s="11">
        <v>250</v>
      </c>
      <c r="AD780" s="12">
        <f>SUM(R780:AC780)</f>
        <v>250</v>
      </c>
      <c r="AE780" s="11">
        <v>250</v>
      </c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3">
        <f>SUM(AE780:AP780)</f>
        <v>250</v>
      </c>
      <c r="AR780" s="3">
        <v>250</v>
      </c>
      <c r="AS780" s="3">
        <v>0</v>
      </c>
      <c r="AT780" s="3">
        <v>0</v>
      </c>
      <c r="AU780" s="3">
        <v>0</v>
      </c>
      <c r="AV780" s="3">
        <v>0</v>
      </c>
      <c r="AW780" s="3">
        <v>0</v>
      </c>
      <c r="AX780" s="3">
        <v>0</v>
      </c>
      <c r="AY780" s="3">
        <v>0</v>
      </c>
      <c r="AZ780" s="3">
        <v>0</v>
      </c>
      <c r="BA780" s="3">
        <v>0</v>
      </c>
      <c r="BB780" s="3">
        <v>0</v>
      </c>
      <c r="BC780" s="3">
        <v>0</v>
      </c>
      <c r="BD780" s="3">
        <f>SUM(AR780:BC780)</f>
        <v>250</v>
      </c>
    </row>
    <row r="781" spans="1:56" ht="13.5" thickBot="1" x14ac:dyDescent="0.35">
      <c r="A781" t="s">
        <v>371</v>
      </c>
      <c r="D781" s="8" t="s">
        <v>10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31994.28</v>
      </c>
      <c r="M781" s="12">
        <v>31994.28</v>
      </c>
      <c r="N781" s="12">
        <v>31994.28</v>
      </c>
      <c r="O781" s="12">
        <v>31994.28</v>
      </c>
      <c r="P781" s="12">
        <v>31994.27</v>
      </c>
      <c r="Q781" s="12">
        <f>SUM(E781:P781)</f>
        <v>159971.38999999998</v>
      </c>
      <c r="R781" s="11">
        <f>11250+29808.33</f>
        <v>41058.33</v>
      </c>
      <c r="S781" s="11">
        <f t="shared" ref="S781:AB781" si="655">11250+29808.33</f>
        <v>41058.33</v>
      </c>
      <c r="T781" s="11">
        <f t="shared" si="655"/>
        <v>41058.33</v>
      </c>
      <c r="U781" s="11">
        <f t="shared" si="655"/>
        <v>41058.33</v>
      </c>
      <c r="V781" s="11">
        <f t="shared" si="655"/>
        <v>41058.33</v>
      </c>
      <c r="W781" s="11">
        <f>11250+29808.35</f>
        <v>41058.35</v>
      </c>
      <c r="X781" s="11">
        <f t="shared" si="655"/>
        <v>41058.33</v>
      </c>
      <c r="Y781" s="11">
        <f t="shared" si="655"/>
        <v>41058.33</v>
      </c>
      <c r="Z781" s="11">
        <f t="shared" si="655"/>
        <v>41058.33</v>
      </c>
      <c r="AA781" s="11">
        <f t="shared" si="655"/>
        <v>41058.33</v>
      </c>
      <c r="AB781" s="11">
        <f t="shared" si="655"/>
        <v>41058.33</v>
      </c>
      <c r="AC781" s="11">
        <f>11250+29808.35</f>
        <v>41058.35</v>
      </c>
      <c r="AD781" s="12">
        <f>SUM(R781:AC781)</f>
        <v>492700.00000000006</v>
      </c>
      <c r="AE781" s="12">
        <f>11666.67+29639.58</f>
        <v>41306.25</v>
      </c>
      <c r="AF781" s="12">
        <f t="shared" ref="AF781:AO781" si="656">11666.67+29639.58</f>
        <v>41306.25</v>
      </c>
      <c r="AG781" s="12">
        <f t="shared" si="656"/>
        <v>41306.25</v>
      </c>
      <c r="AH781" s="12">
        <f t="shared" si="656"/>
        <v>41306.25</v>
      </c>
      <c r="AI781" s="12">
        <f t="shared" si="656"/>
        <v>41306.25</v>
      </c>
      <c r="AJ781" s="12">
        <f>11666.67+29639.6</f>
        <v>41306.269999999997</v>
      </c>
      <c r="AK781" s="12">
        <f t="shared" si="656"/>
        <v>41306.25</v>
      </c>
      <c r="AL781" s="12">
        <f t="shared" si="656"/>
        <v>41306.25</v>
      </c>
      <c r="AM781" s="12">
        <f t="shared" si="656"/>
        <v>41306.25</v>
      </c>
      <c r="AN781" s="12">
        <f t="shared" si="656"/>
        <v>41306.25</v>
      </c>
      <c r="AO781" s="12">
        <f t="shared" si="656"/>
        <v>41306.25</v>
      </c>
      <c r="AP781" s="12">
        <f>11666.63+29639.6</f>
        <v>41306.229999999996</v>
      </c>
      <c r="AQ781" s="3">
        <f>SUM(AE781:AP781)</f>
        <v>495675</v>
      </c>
      <c r="AR781" s="3">
        <f>11666.67+29183.33</f>
        <v>40850</v>
      </c>
      <c r="AS781" s="3">
        <f t="shared" ref="AS781:AV781" si="657">11666.67+29183.33</f>
        <v>40850</v>
      </c>
      <c r="AT781" s="3">
        <f t="shared" si="657"/>
        <v>40850</v>
      </c>
      <c r="AU781" s="3">
        <f t="shared" si="657"/>
        <v>40850</v>
      </c>
      <c r="AV781" s="3">
        <f t="shared" si="657"/>
        <v>40850</v>
      </c>
      <c r="AW781" s="3">
        <f>11666.67+29183.35</f>
        <v>40850.019999999997</v>
      </c>
      <c r="AX781" s="3">
        <f>11666.67+29183.33</f>
        <v>40850</v>
      </c>
      <c r="AY781" s="3">
        <f t="shared" ref="AY781:BB781" si="658">11666.67+29183.33</f>
        <v>40850</v>
      </c>
      <c r="AZ781" s="3">
        <f t="shared" si="658"/>
        <v>40850</v>
      </c>
      <c r="BA781" s="3">
        <f t="shared" si="658"/>
        <v>40850</v>
      </c>
      <c r="BB781" s="3">
        <f t="shared" si="658"/>
        <v>40850</v>
      </c>
      <c r="BC781" s="3">
        <f>11666.63+29183.35</f>
        <v>40849.979999999996</v>
      </c>
      <c r="BD781" s="3">
        <f>SUM(AR781:BC781)</f>
        <v>490200</v>
      </c>
    </row>
    <row r="782" spans="1:56" ht="13.5" thickBot="1" x14ac:dyDescent="0.35">
      <c r="D782" s="13" t="s">
        <v>372</v>
      </c>
      <c r="E782" s="14">
        <f t="shared" ref="E782:AC782" si="659">SUM(E779:E781)</f>
        <v>0</v>
      </c>
      <c r="F782" s="14">
        <f t="shared" si="659"/>
        <v>0</v>
      </c>
      <c r="G782" s="14">
        <f t="shared" si="659"/>
        <v>0</v>
      </c>
      <c r="H782" s="14">
        <f t="shared" si="659"/>
        <v>0</v>
      </c>
      <c r="I782" s="14">
        <f t="shared" si="659"/>
        <v>0</v>
      </c>
      <c r="J782" s="14">
        <f t="shared" si="659"/>
        <v>0</v>
      </c>
      <c r="K782" s="14">
        <f t="shared" si="659"/>
        <v>0</v>
      </c>
      <c r="L782" s="14">
        <f t="shared" si="659"/>
        <v>32919.360000000001</v>
      </c>
      <c r="M782" s="14">
        <f t="shared" si="659"/>
        <v>32815.19</v>
      </c>
      <c r="N782" s="14">
        <f t="shared" si="659"/>
        <v>32815.19</v>
      </c>
      <c r="O782" s="14">
        <f t="shared" si="659"/>
        <v>32815.19</v>
      </c>
      <c r="P782" s="14">
        <f t="shared" si="659"/>
        <v>32815.18</v>
      </c>
      <c r="Q782" s="14">
        <f t="shared" si="659"/>
        <v>164180.10999999999</v>
      </c>
      <c r="R782" s="14">
        <f t="shared" si="659"/>
        <v>42129.240000000005</v>
      </c>
      <c r="S782" s="14">
        <f t="shared" si="659"/>
        <v>41879.240000000005</v>
      </c>
      <c r="T782" s="14">
        <f t="shared" si="659"/>
        <v>41879.240000000005</v>
      </c>
      <c r="U782" s="14">
        <f t="shared" si="659"/>
        <v>41879.240000000005</v>
      </c>
      <c r="V782" s="14">
        <f t="shared" si="659"/>
        <v>41879.240000000005</v>
      </c>
      <c r="W782" s="14">
        <f t="shared" si="659"/>
        <v>41879.26</v>
      </c>
      <c r="X782" s="14">
        <f t="shared" si="659"/>
        <v>41810.83</v>
      </c>
      <c r="Y782" s="14">
        <f t="shared" si="659"/>
        <v>41810.83</v>
      </c>
      <c r="Z782" s="14">
        <f t="shared" si="659"/>
        <v>41810.83</v>
      </c>
      <c r="AA782" s="14">
        <f t="shared" si="659"/>
        <v>41810.83</v>
      </c>
      <c r="AB782" s="14">
        <f t="shared" si="659"/>
        <v>41810.83</v>
      </c>
      <c r="AC782" s="14">
        <f t="shared" si="659"/>
        <v>41810.85</v>
      </c>
      <c r="AD782" s="14">
        <f>SUM(AD779:AD781)</f>
        <v>502390.46000000008</v>
      </c>
      <c r="AE782" s="14">
        <f>SUM(AE779:AE781)</f>
        <v>42308.75</v>
      </c>
      <c r="AF782" s="14">
        <f>SUM(AF779:AF781)</f>
        <v>42058.75</v>
      </c>
      <c r="AG782" s="14">
        <f t="shared" ref="AG782:AP782" si="660">SUM(AG779:AG781)</f>
        <v>42058.75</v>
      </c>
      <c r="AH782" s="14">
        <f t="shared" si="660"/>
        <v>42058.75</v>
      </c>
      <c r="AI782" s="14">
        <f t="shared" si="660"/>
        <v>42058.75</v>
      </c>
      <c r="AJ782" s="14">
        <f t="shared" si="660"/>
        <v>42058.77</v>
      </c>
      <c r="AK782" s="14">
        <f t="shared" si="660"/>
        <v>42047.5</v>
      </c>
      <c r="AL782" s="14">
        <f t="shared" si="660"/>
        <v>42047.5</v>
      </c>
      <c r="AM782" s="14">
        <f t="shared" si="660"/>
        <v>42047.5</v>
      </c>
      <c r="AN782" s="14">
        <f t="shared" si="660"/>
        <v>42047.5</v>
      </c>
      <c r="AO782" s="14">
        <f t="shared" si="660"/>
        <v>42047.5</v>
      </c>
      <c r="AP782" s="14">
        <f t="shared" si="660"/>
        <v>42047.479999999996</v>
      </c>
      <c r="AQ782" s="22">
        <f>SUM(AQ779:AQ781)</f>
        <v>504887.5</v>
      </c>
      <c r="AR782" s="22">
        <f t="shared" ref="AR782:BD782" si="661">SUM(AR779:AR781)</f>
        <v>41841.25</v>
      </c>
      <c r="AS782" s="22">
        <f t="shared" si="661"/>
        <v>41591.25</v>
      </c>
      <c r="AT782" s="22">
        <f t="shared" si="661"/>
        <v>41591.25</v>
      </c>
      <c r="AU782" s="22">
        <f t="shared" si="661"/>
        <v>41591.25</v>
      </c>
      <c r="AV782" s="22">
        <f t="shared" si="661"/>
        <v>41591.25</v>
      </c>
      <c r="AW782" s="22">
        <f t="shared" si="661"/>
        <v>41591.269999999997</v>
      </c>
      <c r="AX782" s="22">
        <f t="shared" si="661"/>
        <v>41579.58</v>
      </c>
      <c r="AY782" s="22">
        <f t="shared" si="661"/>
        <v>41579.58</v>
      </c>
      <c r="AZ782" s="22">
        <f t="shared" si="661"/>
        <v>41579.58</v>
      </c>
      <c r="BA782" s="22">
        <f t="shared" si="661"/>
        <v>41579.58</v>
      </c>
      <c r="BB782" s="22">
        <f t="shared" si="661"/>
        <v>41579.58</v>
      </c>
      <c r="BC782" s="22">
        <f t="shared" si="661"/>
        <v>41579.56</v>
      </c>
      <c r="BD782" s="22">
        <f t="shared" si="661"/>
        <v>499274.98</v>
      </c>
    </row>
    <row r="783" spans="1:56" x14ac:dyDescent="0.3">
      <c r="D783" s="15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</row>
    <row r="784" spans="1:56" ht="15.5" x14ac:dyDescent="0.35">
      <c r="B784" s="20">
        <f>+B778+1</f>
        <v>95</v>
      </c>
      <c r="C784" s="1" t="s">
        <v>14</v>
      </c>
      <c r="D784" s="25" t="s">
        <v>373</v>
      </c>
    </row>
    <row r="785" spans="1:56" x14ac:dyDescent="0.3">
      <c r="D785" s="8" t="s">
        <v>8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2980.91</v>
      </c>
      <c r="N785" s="12">
        <v>2980.91</v>
      </c>
      <c r="O785" s="12">
        <v>2980.91</v>
      </c>
      <c r="P785" s="12">
        <v>2980.91</v>
      </c>
      <c r="Q785" s="12">
        <f>SUM(E785:P785)</f>
        <v>11923.64</v>
      </c>
      <c r="R785" s="12">
        <v>2980.91</v>
      </c>
      <c r="S785" s="12">
        <v>2980.91</v>
      </c>
      <c r="T785" s="12">
        <v>2980.91</v>
      </c>
      <c r="U785" s="12">
        <v>2980.91</v>
      </c>
      <c r="V785" s="12">
        <v>2980.91</v>
      </c>
      <c r="W785" s="12">
        <v>2980.91</v>
      </c>
      <c r="X785" s="12">
        <v>2980.91</v>
      </c>
      <c r="Y785" s="12">
        <v>2732.5</v>
      </c>
      <c r="Z785" s="12">
        <v>2732.5</v>
      </c>
      <c r="AA785" s="12">
        <v>2732.5</v>
      </c>
      <c r="AB785" s="12">
        <v>2732.5</v>
      </c>
      <c r="AC785" s="12">
        <v>2732.5</v>
      </c>
      <c r="AD785" s="12">
        <f>SUM(R785:AC785)</f>
        <v>34528.869999999995</v>
      </c>
      <c r="AE785" s="12">
        <v>2732.5</v>
      </c>
      <c r="AF785" s="12">
        <v>2732.5</v>
      </c>
      <c r="AG785" s="12">
        <v>2732.5</v>
      </c>
      <c r="AH785" s="12">
        <v>2732.5</v>
      </c>
      <c r="AI785" s="12">
        <v>2732.5</v>
      </c>
      <c r="AJ785" s="12">
        <v>2732.5</v>
      </c>
      <c r="AK785" s="12">
        <v>2732.5</v>
      </c>
      <c r="AL785" s="12">
        <v>2732.5</v>
      </c>
      <c r="AM785" s="12">
        <v>2732.5</v>
      </c>
      <c r="AN785" s="12">
        <v>2732.5</v>
      </c>
      <c r="AO785" s="12">
        <v>2732.5</v>
      </c>
      <c r="AP785" s="12">
        <v>2732.5</v>
      </c>
      <c r="AQ785" s="3">
        <f>SUM(AE785:AP785)</f>
        <v>32790</v>
      </c>
      <c r="AR785" s="3">
        <v>2732.5</v>
      </c>
      <c r="AS785" s="3">
        <v>2732.5</v>
      </c>
      <c r="AT785" s="3">
        <v>2732.5</v>
      </c>
      <c r="AU785" s="3">
        <v>2732.5</v>
      </c>
      <c r="AV785" s="3">
        <v>2732.5</v>
      </c>
      <c r="AW785" s="3">
        <v>2732.5</v>
      </c>
      <c r="AX785" s="3">
        <v>2732.5</v>
      </c>
      <c r="AY785" s="3">
        <v>2690.42</v>
      </c>
      <c r="AZ785" s="3">
        <v>2690.42</v>
      </c>
      <c r="BA785" s="3">
        <v>2690.42</v>
      </c>
      <c r="BB785" s="3">
        <v>2690.42</v>
      </c>
      <c r="BC785" s="3">
        <v>2690.42</v>
      </c>
      <c r="BD785" s="3">
        <f>SUM(AR785:BC785)</f>
        <v>32579.599999999991</v>
      </c>
    </row>
    <row r="786" spans="1:56" x14ac:dyDescent="0.3">
      <c r="D786" s="8" t="s">
        <v>9</v>
      </c>
      <c r="E786" s="11"/>
      <c r="F786" s="11"/>
      <c r="I786" s="11"/>
      <c r="K786" s="11"/>
      <c r="L786" s="11"/>
      <c r="M786" s="11">
        <v>83.33</v>
      </c>
      <c r="N786" s="11"/>
      <c r="O786" s="11"/>
      <c r="P786" s="11"/>
      <c r="Q786" s="12">
        <f>SUM(E786:P786)</f>
        <v>83.33</v>
      </c>
      <c r="R786" s="11">
        <v>250</v>
      </c>
      <c r="AD786" s="12">
        <f>SUM(R786:AC786)</f>
        <v>250</v>
      </c>
      <c r="AE786" s="11">
        <v>250</v>
      </c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3">
        <f>SUM(AE786:AP786)</f>
        <v>250</v>
      </c>
      <c r="AR786" s="3">
        <v>250</v>
      </c>
      <c r="AS786" s="3">
        <v>0</v>
      </c>
      <c r="AT786" s="3">
        <v>0</v>
      </c>
      <c r="AU786" s="3">
        <v>0</v>
      </c>
      <c r="AV786" s="3">
        <v>0</v>
      </c>
      <c r="AW786" s="3">
        <v>0</v>
      </c>
      <c r="AX786" s="3">
        <v>0</v>
      </c>
      <c r="AY786" s="3">
        <v>0</v>
      </c>
      <c r="AZ786" s="3">
        <v>0</v>
      </c>
      <c r="BA786" s="3">
        <v>0</v>
      </c>
      <c r="BB786" s="3">
        <v>0</v>
      </c>
      <c r="BC786" s="3">
        <v>0</v>
      </c>
      <c r="BD786" s="3">
        <f>SUM(AR786:BC786)</f>
        <v>250</v>
      </c>
    </row>
    <row r="787" spans="1:56" ht="13.5" thickBot="1" x14ac:dyDescent="0.35">
      <c r="A787" t="s">
        <v>374</v>
      </c>
      <c r="D787" s="8" t="s">
        <v>10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86940.72</v>
      </c>
      <c r="N787" s="12">
        <v>86940.72</v>
      </c>
      <c r="O787" s="12">
        <v>86940.72</v>
      </c>
      <c r="P787" s="12">
        <v>71253.33</v>
      </c>
      <c r="Q787" s="12">
        <f>SUM(E787:P787)</f>
        <v>332075.49</v>
      </c>
      <c r="R787" s="12">
        <v>71253.33</v>
      </c>
      <c r="S787" s="12">
        <v>71253.33</v>
      </c>
      <c r="T787" s="12">
        <v>71253.33</v>
      </c>
      <c r="U787" s="12">
        <v>71253.33</v>
      </c>
      <c r="V787" s="12">
        <v>71253.350000000006</v>
      </c>
      <c r="W787" s="12">
        <v>94481.67</v>
      </c>
      <c r="X787" s="12">
        <v>94481.67</v>
      </c>
      <c r="Y787" s="12">
        <v>94481.67</v>
      </c>
      <c r="Z787" s="12">
        <v>94481.67</v>
      </c>
      <c r="AA787" s="12">
        <v>94481.67</v>
      </c>
      <c r="AB787" s="12">
        <v>94481.65</v>
      </c>
      <c r="AC787" s="11">
        <f>42083.33+108358.33</f>
        <v>150441.66</v>
      </c>
      <c r="AD787" s="12">
        <f>SUM(R787:AC787)</f>
        <v>1073598.33</v>
      </c>
      <c r="AE787" s="11">
        <f t="shared" ref="AE787:AN787" si="662">42083.33+108358.33</f>
        <v>150441.66</v>
      </c>
      <c r="AF787" s="11">
        <f t="shared" si="662"/>
        <v>150441.66</v>
      </c>
      <c r="AG787" s="11">
        <f t="shared" si="662"/>
        <v>150441.66</v>
      </c>
      <c r="AH787" s="11">
        <f t="shared" si="662"/>
        <v>150441.66</v>
      </c>
      <c r="AI787" s="11">
        <f>42083.33+108358.35</f>
        <v>150441.68</v>
      </c>
      <c r="AJ787" s="11">
        <f t="shared" si="662"/>
        <v>150441.66</v>
      </c>
      <c r="AK787" s="11">
        <f t="shared" si="662"/>
        <v>150441.66</v>
      </c>
      <c r="AL787" s="11">
        <f t="shared" si="662"/>
        <v>150441.66</v>
      </c>
      <c r="AM787" s="11">
        <f t="shared" si="662"/>
        <v>150441.66</v>
      </c>
      <c r="AN787" s="11">
        <f t="shared" si="662"/>
        <v>150441.66</v>
      </c>
      <c r="AO787" s="11">
        <f>42083.37+108358.35</f>
        <v>150441.72</v>
      </c>
      <c r="AP787" s="12">
        <f>43333.33+107516.67</f>
        <v>150850</v>
      </c>
      <c r="AQ787" s="3">
        <f>SUM(AE787:AP787)</f>
        <v>1805708.3399999999</v>
      </c>
      <c r="AR787" s="3">
        <f>43333.33+107516.67</f>
        <v>150850</v>
      </c>
      <c r="AS787" s="3">
        <f>43333.33+107516.67</f>
        <v>150850</v>
      </c>
      <c r="AT787" s="3">
        <f t="shared" ref="AT787:BA787" si="663">43333.33+107516.67</f>
        <v>150850</v>
      </c>
      <c r="AU787" s="3">
        <f t="shared" si="663"/>
        <v>150850</v>
      </c>
      <c r="AV787" s="3">
        <f>43333.33+107516.65</f>
        <v>150849.97999999998</v>
      </c>
      <c r="AW787" s="3">
        <f t="shared" si="663"/>
        <v>150850</v>
      </c>
      <c r="AX787" s="3">
        <f t="shared" si="663"/>
        <v>150850</v>
      </c>
      <c r="AY787" s="3">
        <f t="shared" si="663"/>
        <v>150850</v>
      </c>
      <c r="AZ787" s="3">
        <f t="shared" si="663"/>
        <v>150850</v>
      </c>
      <c r="BA787" s="3">
        <f t="shared" si="663"/>
        <v>150850</v>
      </c>
      <c r="BB787" s="3">
        <f>43333.37+107516.65</f>
        <v>150850.01999999999</v>
      </c>
      <c r="BC787" s="3">
        <f>44583.33+105883.33</f>
        <v>150466.66</v>
      </c>
      <c r="BD787" s="3">
        <f>SUM(AR787:BC787)</f>
        <v>1809816.66</v>
      </c>
    </row>
    <row r="788" spans="1:56" ht="13.5" thickBot="1" x14ac:dyDescent="0.35">
      <c r="D788" s="13" t="s">
        <v>165</v>
      </c>
      <c r="E788" s="14">
        <f t="shared" ref="E788:AC788" si="664">SUM(E785:E787)</f>
        <v>0</v>
      </c>
      <c r="F788" s="14">
        <f t="shared" si="664"/>
        <v>0</v>
      </c>
      <c r="G788" s="14">
        <f t="shared" si="664"/>
        <v>0</v>
      </c>
      <c r="H788" s="14">
        <f t="shared" si="664"/>
        <v>0</v>
      </c>
      <c r="I788" s="14">
        <f t="shared" si="664"/>
        <v>0</v>
      </c>
      <c r="J788" s="14">
        <f t="shared" si="664"/>
        <v>0</v>
      </c>
      <c r="K788" s="14">
        <f t="shared" si="664"/>
        <v>0</v>
      </c>
      <c r="L788" s="14">
        <f t="shared" si="664"/>
        <v>0</v>
      </c>
      <c r="M788" s="14">
        <f t="shared" si="664"/>
        <v>90004.96</v>
      </c>
      <c r="N788" s="14">
        <f t="shared" si="664"/>
        <v>89921.63</v>
      </c>
      <c r="O788" s="14">
        <f t="shared" si="664"/>
        <v>89921.63</v>
      </c>
      <c r="P788" s="14">
        <f t="shared" si="664"/>
        <v>74234.240000000005</v>
      </c>
      <c r="Q788" s="14">
        <f t="shared" si="664"/>
        <v>344082.45999999996</v>
      </c>
      <c r="R788" s="14">
        <f t="shared" si="664"/>
        <v>74484.240000000005</v>
      </c>
      <c r="S788" s="14">
        <f t="shared" si="664"/>
        <v>74234.240000000005</v>
      </c>
      <c r="T788" s="14">
        <f t="shared" si="664"/>
        <v>74234.240000000005</v>
      </c>
      <c r="U788" s="14">
        <f t="shared" si="664"/>
        <v>74234.240000000005</v>
      </c>
      <c r="V788" s="14">
        <f t="shared" si="664"/>
        <v>74234.260000000009</v>
      </c>
      <c r="W788" s="14">
        <f t="shared" si="664"/>
        <v>97462.58</v>
      </c>
      <c r="X788" s="14">
        <f t="shared" si="664"/>
        <v>97462.58</v>
      </c>
      <c r="Y788" s="14">
        <f t="shared" si="664"/>
        <v>97214.17</v>
      </c>
      <c r="Z788" s="14">
        <f t="shared" si="664"/>
        <v>97214.17</v>
      </c>
      <c r="AA788" s="14">
        <f t="shared" si="664"/>
        <v>97214.17</v>
      </c>
      <c r="AB788" s="14">
        <f t="shared" si="664"/>
        <v>97214.15</v>
      </c>
      <c r="AC788" s="14">
        <f t="shared" si="664"/>
        <v>153174.16</v>
      </c>
      <c r="AD788" s="14">
        <f>SUM(AD785:AD787)</f>
        <v>1108377.2000000002</v>
      </c>
      <c r="AE788" s="14">
        <f>SUM(AE785:AE787)</f>
        <v>153424.16</v>
      </c>
      <c r="AF788" s="14">
        <f>SUM(AF785:AF787)</f>
        <v>153174.16</v>
      </c>
      <c r="AG788" s="14">
        <f t="shared" ref="AG788:AP788" si="665">SUM(AG785:AG787)</f>
        <v>153174.16</v>
      </c>
      <c r="AH788" s="14">
        <f t="shared" si="665"/>
        <v>153174.16</v>
      </c>
      <c r="AI788" s="14">
        <f t="shared" si="665"/>
        <v>153174.18</v>
      </c>
      <c r="AJ788" s="14">
        <f t="shared" si="665"/>
        <v>153174.16</v>
      </c>
      <c r="AK788" s="14">
        <f t="shared" si="665"/>
        <v>153174.16</v>
      </c>
      <c r="AL788" s="14">
        <f t="shared" si="665"/>
        <v>153174.16</v>
      </c>
      <c r="AM788" s="14">
        <f t="shared" si="665"/>
        <v>153174.16</v>
      </c>
      <c r="AN788" s="14">
        <f t="shared" si="665"/>
        <v>153174.16</v>
      </c>
      <c r="AO788" s="14">
        <f t="shared" si="665"/>
        <v>153174.22</v>
      </c>
      <c r="AP788" s="14">
        <f t="shared" si="665"/>
        <v>153582.5</v>
      </c>
      <c r="AQ788" s="22">
        <f>SUM(AQ785:AQ787)</f>
        <v>1838748.3399999999</v>
      </c>
      <c r="AR788" s="22">
        <f t="shared" ref="AR788:BD788" si="666">SUM(AR785:AR787)</f>
        <v>153832.5</v>
      </c>
      <c r="AS788" s="22">
        <f t="shared" si="666"/>
        <v>153582.5</v>
      </c>
      <c r="AT788" s="22">
        <f t="shared" si="666"/>
        <v>153582.5</v>
      </c>
      <c r="AU788" s="22">
        <f t="shared" si="666"/>
        <v>153582.5</v>
      </c>
      <c r="AV788" s="22">
        <f t="shared" si="666"/>
        <v>153582.47999999998</v>
      </c>
      <c r="AW788" s="22">
        <f t="shared" si="666"/>
        <v>153582.5</v>
      </c>
      <c r="AX788" s="22">
        <f t="shared" si="666"/>
        <v>153582.5</v>
      </c>
      <c r="AY788" s="22">
        <f t="shared" si="666"/>
        <v>153540.42000000001</v>
      </c>
      <c r="AZ788" s="22">
        <f t="shared" si="666"/>
        <v>153540.42000000001</v>
      </c>
      <c r="BA788" s="22">
        <f t="shared" si="666"/>
        <v>153540.42000000001</v>
      </c>
      <c r="BB788" s="22">
        <f t="shared" si="666"/>
        <v>153540.44</v>
      </c>
      <c r="BC788" s="22">
        <f t="shared" si="666"/>
        <v>153157.08000000002</v>
      </c>
      <c r="BD788" s="22">
        <f t="shared" si="666"/>
        <v>1842646.26</v>
      </c>
    </row>
    <row r="789" spans="1:56" x14ac:dyDescent="0.3">
      <c r="D789" s="15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</row>
    <row r="790" spans="1:56" ht="15.5" x14ac:dyDescent="0.35">
      <c r="B790" s="20">
        <f>+B784+1</f>
        <v>96</v>
      </c>
      <c r="C790" s="1" t="s">
        <v>14</v>
      </c>
      <c r="D790" s="25" t="s">
        <v>375</v>
      </c>
    </row>
    <row r="791" spans="1:56" x14ac:dyDescent="0.3">
      <c r="D791" s="8" t="s">
        <v>8</v>
      </c>
      <c r="E791" s="12">
        <v>0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f>SUM(E791:P791)</f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f>SUM(R791:AC791)</f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12">
        <v>0</v>
      </c>
      <c r="AK791" s="12">
        <v>0</v>
      </c>
      <c r="AL791" s="12">
        <v>0</v>
      </c>
      <c r="AM791" s="12">
        <v>0</v>
      </c>
      <c r="AN791" s="12">
        <v>0</v>
      </c>
      <c r="AO791" s="12">
        <v>0</v>
      </c>
      <c r="AP791" s="12">
        <v>0</v>
      </c>
      <c r="AQ791" s="3">
        <f>SUM(AE791:AP791)</f>
        <v>0</v>
      </c>
      <c r="AR791" s="3">
        <v>0</v>
      </c>
      <c r="AS791" s="3">
        <v>0</v>
      </c>
      <c r="AT791" s="3">
        <v>0</v>
      </c>
      <c r="AU791" s="3">
        <v>0</v>
      </c>
      <c r="AV791" s="3">
        <v>0</v>
      </c>
      <c r="AW791" s="3">
        <v>0</v>
      </c>
      <c r="AX791" s="3">
        <v>0</v>
      </c>
      <c r="AY791" s="3">
        <v>0</v>
      </c>
      <c r="AZ791" s="3">
        <v>0</v>
      </c>
      <c r="BA791" s="3">
        <v>0</v>
      </c>
      <c r="BB791" s="3">
        <v>0</v>
      </c>
      <c r="BC791" s="3">
        <v>0</v>
      </c>
      <c r="BD791" s="3">
        <f>SUM(AR791:BC791)</f>
        <v>0</v>
      </c>
    </row>
    <row r="792" spans="1:56" x14ac:dyDescent="0.3">
      <c r="D792" s="8" t="s">
        <v>9</v>
      </c>
      <c r="E792" s="11"/>
      <c r="F792" s="11"/>
      <c r="I792" s="11"/>
      <c r="K792" s="11"/>
      <c r="L792" s="11"/>
      <c r="M792" s="11"/>
      <c r="N792" s="11">
        <v>62.5</v>
      </c>
      <c r="O792" s="11"/>
      <c r="P792" s="11"/>
      <c r="Q792" s="12">
        <f>SUM(E792:P792)</f>
        <v>62.5</v>
      </c>
      <c r="R792" s="11">
        <v>250</v>
      </c>
      <c r="AD792" s="12">
        <f>SUM(R792:AC792)</f>
        <v>250</v>
      </c>
      <c r="AE792" s="11">
        <v>250</v>
      </c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3">
        <f>SUM(AE792:AP792)</f>
        <v>250</v>
      </c>
      <c r="AR792" s="3">
        <v>250</v>
      </c>
      <c r="AS792" s="3">
        <v>0</v>
      </c>
      <c r="AT792" s="3">
        <v>0</v>
      </c>
      <c r="AU792" s="3">
        <v>0</v>
      </c>
      <c r="AV792" s="3">
        <v>0</v>
      </c>
      <c r="AW792" s="3">
        <v>0</v>
      </c>
      <c r="AX792" s="3">
        <v>0</v>
      </c>
      <c r="AY792" s="3">
        <v>0</v>
      </c>
      <c r="AZ792" s="3">
        <v>0</v>
      </c>
      <c r="BA792" s="3">
        <v>0</v>
      </c>
      <c r="BB792" s="3">
        <v>0</v>
      </c>
      <c r="BC792" s="3">
        <v>0</v>
      </c>
      <c r="BD792" s="3">
        <f>SUM(AR792:BC792)</f>
        <v>250</v>
      </c>
    </row>
    <row r="793" spans="1:56" ht="13.5" thickBot="1" x14ac:dyDescent="0.35">
      <c r="A793" t="s">
        <v>376</v>
      </c>
      <c r="D793" s="8" t="s">
        <v>10</v>
      </c>
      <c r="E793" s="12">
        <v>0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f>SUM(E793:P793)</f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727.68</v>
      </c>
      <c r="Y793" s="12">
        <v>727.68</v>
      </c>
      <c r="Z793" s="12">
        <v>727.68</v>
      </c>
      <c r="AA793" s="12">
        <v>727.68</v>
      </c>
      <c r="AB793" s="12">
        <v>727.7</v>
      </c>
      <c r="AC793" s="12">
        <v>727.7</v>
      </c>
      <c r="AD793" s="12">
        <f>SUM(R793:AC793)</f>
        <v>4366.12</v>
      </c>
      <c r="AE793" s="12">
        <v>32018.25</v>
      </c>
      <c r="AF793" s="12">
        <v>32018.25</v>
      </c>
      <c r="AG793" s="12">
        <v>32018.25</v>
      </c>
      <c r="AH793" s="12">
        <v>32018.25</v>
      </c>
      <c r="AI793" s="12">
        <v>32018.25</v>
      </c>
      <c r="AJ793" s="12">
        <v>32018.25</v>
      </c>
      <c r="AK793" s="12">
        <v>32018.25</v>
      </c>
      <c r="AL793" s="12">
        <v>32018.25</v>
      </c>
      <c r="AM793" s="12">
        <v>32018.25</v>
      </c>
      <c r="AN793" s="12">
        <v>32018.25</v>
      </c>
      <c r="AO793" s="12">
        <v>32018.25</v>
      </c>
      <c r="AP793" s="12">
        <v>32018.25</v>
      </c>
      <c r="AQ793" s="3">
        <f>SUM(AE793:AP793)</f>
        <v>384219</v>
      </c>
      <c r="AR793" s="3">
        <f>73845.83-41827.58</f>
        <v>32018.25</v>
      </c>
      <c r="AS793" s="3">
        <f t="shared" ref="AS793:AU793" si="667">73845.83-41827.58</f>
        <v>32018.25</v>
      </c>
      <c r="AT793" s="3">
        <f t="shared" si="667"/>
        <v>32018.25</v>
      </c>
      <c r="AU793" s="3">
        <f t="shared" si="667"/>
        <v>32018.25</v>
      </c>
      <c r="AV793" s="3">
        <f>73845.84-41827.59</f>
        <v>32018.25</v>
      </c>
      <c r="AW793" s="3">
        <f t="shared" ref="AW793" si="668">73845.84-41827.59</f>
        <v>32018.25</v>
      </c>
      <c r="AX793" s="3">
        <v>73845.83</v>
      </c>
      <c r="AY793" s="3">
        <v>73845.83</v>
      </c>
      <c r="AZ793" s="3">
        <v>73845.83</v>
      </c>
      <c r="BA793" s="3">
        <v>73845.83</v>
      </c>
      <c r="BB793" s="3">
        <v>73845.84</v>
      </c>
      <c r="BC793" s="3">
        <v>73845.84</v>
      </c>
      <c r="BD793" s="3">
        <f>SUM(AR793:BC793)</f>
        <v>635184.5</v>
      </c>
    </row>
    <row r="794" spans="1:56" ht="13.5" thickBot="1" x14ac:dyDescent="0.35">
      <c r="D794" s="13" t="s">
        <v>377</v>
      </c>
      <c r="E794" s="14">
        <f t="shared" ref="E794:AC794" si="669">SUM(E791:E793)</f>
        <v>0</v>
      </c>
      <c r="F794" s="14">
        <f t="shared" si="669"/>
        <v>0</v>
      </c>
      <c r="G794" s="14">
        <f t="shared" si="669"/>
        <v>0</v>
      </c>
      <c r="H794" s="14">
        <f t="shared" si="669"/>
        <v>0</v>
      </c>
      <c r="I794" s="14">
        <f t="shared" si="669"/>
        <v>0</v>
      </c>
      <c r="J794" s="14">
        <f t="shared" si="669"/>
        <v>0</v>
      </c>
      <c r="K794" s="14">
        <f t="shared" si="669"/>
        <v>0</v>
      </c>
      <c r="L794" s="14">
        <f t="shared" si="669"/>
        <v>0</v>
      </c>
      <c r="M794" s="14">
        <f t="shared" si="669"/>
        <v>0</v>
      </c>
      <c r="N794" s="14">
        <f t="shared" si="669"/>
        <v>62.5</v>
      </c>
      <c r="O794" s="14">
        <f t="shared" si="669"/>
        <v>0</v>
      </c>
      <c r="P794" s="14">
        <f t="shared" si="669"/>
        <v>0</v>
      </c>
      <c r="Q794" s="14">
        <f t="shared" si="669"/>
        <v>62.5</v>
      </c>
      <c r="R794" s="14">
        <f t="shared" si="669"/>
        <v>250</v>
      </c>
      <c r="S794" s="14">
        <f t="shared" si="669"/>
        <v>0</v>
      </c>
      <c r="T794" s="14">
        <f t="shared" si="669"/>
        <v>0</v>
      </c>
      <c r="U794" s="14">
        <f t="shared" si="669"/>
        <v>0</v>
      </c>
      <c r="V794" s="14">
        <f t="shared" si="669"/>
        <v>0</v>
      </c>
      <c r="W794" s="14">
        <f t="shared" si="669"/>
        <v>0</v>
      </c>
      <c r="X794" s="14">
        <f t="shared" si="669"/>
        <v>727.68</v>
      </c>
      <c r="Y794" s="14">
        <f t="shared" si="669"/>
        <v>727.68</v>
      </c>
      <c r="Z794" s="14">
        <f t="shared" si="669"/>
        <v>727.68</v>
      </c>
      <c r="AA794" s="14">
        <f t="shared" si="669"/>
        <v>727.68</v>
      </c>
      <c r="AB794" s="14">
        <f t="shared" si="669"/>
        <v>727.7</v>
      </c>
      <c r="AC794" s="14">
        <f t="shared" si="669"/>
        <v>727.7</v>
      </c>
      <c r="AD794" s="14">
        <f>SUM(AD791:AD793)</f>
        <v>4616.12</v>
      </c>
      <c r="AE794" s="14">
        <f>SUM(AE791:AE793)</f>
        <v>32268.25</v>
      </c>
      <c r="AF794" s="14">
        <f>SUM(AF791:AF793)</f>
        <v>32018.25</v>
      </c>
      <c r="AG794" s="14">
        <f t="shared" ref="AG794:AP794" si="670">SUM(AG791:AG793)</f>
        <v>32018.25</v>
      </c>
      <c r="AH794" s="14">
        <f t="shared" si="670"/>
        <v>32018.25</v>
      </c>
      <c r="AI794" s="14">
        <f t="shared" si="670"/>
        <v>32018.25</v>
      </c>
      <c r="AJ794" s="14">
        <f t="shared" si="670"/>
        <v>32018.25</v>
      </c>
      <c r="AK794" s="14">
        <f t="shared" si="670"/>
        <v>32018.25</v>
      </c>
      <c r="AL794" s="14">
        <f t="shared" si="670"/>
        <v>32018.25</v>
      </c>
      <c r="AM794" s="14">
        <f t="shared" si="670"/>
        <v>32018.25</v>
      </c>
      <c r="AN794" s="14">
        <f t="shared" si="670"/>
        <v>32018.25</v>
      </c>
      <c r="AO794" s="14">
        <f t="shared" si="670"/>
        <v>32018.25</v>
      </c>
      <c r="AP794" s="14">
        <f t="shared" si="670"/>
        <v>32018.25</v>
      </c>
      <c r="AQ794" s="22">
        <f>SUM(AQ791:AQ793)</f>
        <v>384469</v>
      </c>
      <c r="AR794" s="22">
        <f t="shared" ref="AR794:BD794" si="671">SUM(AR791:AR793)</f>
        <v>32268.25</v>
      </c>
      <c r="AS794" s="22">
        <f t="shared" si="671"/>
        <v>32018.25</v>
      </c>
      <c r="AT794" s="22">
        <f t="shared" si="671"/>
        <v>32018.25</v>
      </c>
      <c r="AU794" s="22">
        <f t="shared" si="671"/>
        <v>32018.25</v>
      </c>
      <c r="AV794" s="22">
        <f t="shared" si="671"/>
        <v>32018.25</v>
      </c>
      <c r="AW794" s="22">
        <f t="shared" si="671"/>
        <v>32018.25</v>
      </c>
      <c r="AX794" s="22">
        <f t="shared" si="671"/>
        <v>73845.83</v>
      </c>
      <c r="AY794" s="22">
        <f t="shared" si="671"/>
        <v>73845.83</v>
      </c>
      <c r="AZ794" s="22">
        <f t="shared" si="671"/>
        <v>73845.83</v>
      </c>
      <c r="BA794" s="22">
        <f t="shared" si="671"/>
        <v>73845.83</v>
      </c>
      <c r="BB794" s="22">
        <f t="shared" si="671"/>
        <v>73845.84</v>
      </c>
      <c r="BC794" s="22">
        <f t="shared" si="671"/>
        <v>73845.84</v>
      </c>
      <c r="BD794" s="22">
        <f t="shared" si="671"/>
        <v>635434.5</v>
      </c>
    </row>
    <row r="795" spans="1:56" x14ac:dyDescent="0.3">
      <c r="D795" s="15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</row>
    <row r="796" spans="1:56" ht="15.5" x14ac:dyDescent="0.35">
      <c r="B796" s="20">
        <f>+B790+1</f>
        <v>97</v>
      </c>
      <c r="C796" s="1" t="s">
        <v>14</v>
      </c>
      <c r="D796" s="25" t="s">
        <v>378</v>
      </c>
    </row>
    <row r="797" spans="1:56" x14ac:dyDescent="0.3">
      <c r="D797" s="8" t="s">
        <v>8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0</v>
      </c>
      <c r="P797" s="12">
        <v>0</v>
      </c>
      <c r="Q797" s="12">
        <f>SUM(E797:P797)</f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12">
        <v>0</v>
      </c>
      <c r="AB797" s="12">
        <v>0</v>
      </c>
      <c r="AC797" s="12">
        <v>0</v>
      </c>
      <c r="AD797" s="12">
        <f>SUM(R797:AC797)</f>
        <v>0</v>
      </c>
      <c r="AE797" s="12">
        <v>0</v>
      </c>
      <c r="AF797" s="12">
        <v>0</v>
      </c>
      <c r="AG797" s="12">
        <v>0</v>
      </c>
      <c r="AH797" s="12">
        <v>0</v>
      </c>
      <c r="AI797" s="12">
        <v>0</v>
      </c>
      <c r="AJ797" s="12">
        <v>0</v>
      </c>
      <c r="AK797" s="12">
        <v>0</v>
      </c>
      <c r="AL797" s="12">
        <v>0</v>
      </c>
      <c r="AM797" s="12">
        <v>0</v>
      </c>
      <c r="AN797" s="12">
        <v>0</v>
      </c>
      <c r="AO797" s="12">
        <v>0</v>
      </c>
      <c r="AP797" s="12">
        <v>0</v>
      </c>
      <c r="AQ797" s="3">
        <f>SUM(AE797:AP797)</f>
        <v>0</v>
      </c>
      <c r="AR797" s="3">
        <v>0</v>
      </c>
      <c r="AS797" s="3">
        <v>0</v>
      </c>
      <c r="AT797" s="3">
        <v>0</v>
      </c>
      <c r="AU797" s="3">
        <v>0</v>
      </c>
      <c r="AV797" s="3">
        <v>0</v>
      </c>
      <c r="AW797" s="3">
        <v>0</v>
      </c>
      <c r="AX797" s="3">
        <v>0</v>
      </c>
      <c r="AY797" s="3">
        <v>0</v>
      </c>
      <c r="AZ797" s="3">
        <v>0</v>
      </c>
      <c r="BA797" s="3">
        <v>0</v>
      </c>
      <c r="BB797" s="3">
        <v>0</v>
      </c>
      <c r="BC797" s="3">
        <v>0</v>
      </c>
      <c r="BD797" s="3">
        <f>SUM(AR797:BC797)</f>
        <v>0</v>
      </c>
    </row>
    <row r="798" spans="1:56" x14ac:dyDescent="0.3">
      <c r="D798" s="8" t="s">
        <v>9</v>
      </c>
      <c r="E798" s="11"/>
      <c r="F798" s="11"/>
      <c r="I798" s="11"/>
      <c r="K798" s="11"/>
      <c r="L798" s="11"/>
      <c r="M798" s="11"/>
      <c r="N798" s="11"/>
      <c r="O798" s="11">
        <v>41.67</v>
      </c>
      <c r="P798" s="11"/>
      <c r="Q798" s="12">
        <f>SUM(E798:P798)</f>
        <v>41.67</v>
      </c>
      <c r="R798" s="11">
        <v>250</v>
      </c>
      <c r="AD798" s="12">
        <f>SUM(R798:AC798)</f>
        <v>250</v>
      </c>
      <c r="AE798" s="11">
        <v>250</v>
      </c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3">
        <f>SUM(AE798:AP798)</f>
        <v>250</v>
      </c>
      <c r="AR798" s="3">
        <v>250</v>
      </c>
      <c r="AS798" s="3">
        <v>0</v>
      </c>
      <c r="AT798" s="3">
        <v>0</v>
      </c>
      <c r="AU798" s="3">
        <v>0</v>
      </c>
      <c r="AV798" s="3">
        <v>0</v>
      </c>
      <c r="AW798" s="3">
        <v>0</v>
      </c>
      <c r="AX798" s="3">
        <v>0</v>
      </c>
      <c r="AY798" s="3">
        <v>0</v>
      </c>
      <c r="AZ798" s="3">
        <v>0</v>
      </c>
      <c r="BA798" s="3">
        <v>0</v>
      </c>
      <c r="BB798" s="3">
        <v>0</v>
      </c>
      <c r="BC798" s="3">
        <v>0</v>
      </c>
      <c r="BD798" s="3">
        <f>SUM(AR798:BC798)</f>
        <v>250</v>
      </c>
    </row>
    <row r="799" spans="1:56" ht="13.5" thickBot="1" x14ac:dyDescent="0.35">
      <c r="A799" t="s">
        <v>379</v>
      </c>
      <c r="D799" s="8" t="s">
        <v>10</v>
      </c>
      <c r="E799" s="12">
        <v>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f>16500+10639.37</f>
        <v>27139.370000000003</v>
      </c>
      <c r="P799" s="12">
        <f>16500+10251.34</f>
        <v>26751.34</v>
      </c>
      <c r="Q799" s="12">
        <f>SUM(E799:P799)</f>
        <v>53890.710000000006</v>
      </c>
      <c r="R799" s="11">
        <v>29262.400000000001</v>
      </c>
      <c r="S799" s="11">
        <v>29209.86</v>
      </c>
      <c r="T799" s="11">
        <v>28820.5</v>
      </c>
      <c r="U799" s="11">
        <v>29104.79</v>
      </c>
      <c r="V799" s="11">
        <v>28718.81</v>
      </c>
      <c r="W799" s="11">
        <v>28999.71</v>
      </c>
      <c r="X799" s="11">
        <v>28947.17</v>
      </c>
      <c r="Y799" s="11">
        <v>27909.57</v>
      </c>
      <c r="Z799" s="11">
        <v>28842.09</v>
      </c>
      <c r="AA799" s="11">
        <v>28464.59</v>
      </c>
      <c r="AB799" s="11">
        <v>28737.01</v>
      </c>
      <c r="AC799" s="11">
        <v>28362.9</v>
      </c>
      <c r="AD799" s="12">
        <f>SUM(R799:AC799)</f>
        <v>345379.4</v>
      </c>
      <c r="AE799" s="12">
        <v>29031.200000000001</v>
      </c>
      <c r="AF799" s="12">
        <v>28977.54</v>
      </c>
      <c r="AG799" s="12">
        <v>28607.46</v>
      </c>
      <c r="AH799" s="12">
        <v>28870.22</v>
      </c>
      <c r="AI799" s="12">
        <v>28503.599999999999</v>
      </c>
      <c r="AJ799" s="12">
        <v>28762.9</v>
      </c>
      <c r="AK799" s="12">
        <v>28709.24</v>
      </c>
      <c r="AL799" s="12">
        <v>28040.05</v>
      </c>
      <c r="AM799" s="12">
        <v>28601.919999999998</v>
      </c>
      <c r="AN799" s="12">
        <v>28243.96</v>
      </c>
      <c r="AO799" s="12">
        <v>28494.6</v>
      </c>
      <c r="AP799" s="12">
        <v>28140.1</v>
      </c>
      <c r="AQ799" s="3">
        <f>SUM(AE799:AP799)</f>
        <v>342982.79</v>
      </c>
      <c r="AR799" s="3">
        <f>19506.43+9272.35</f>
        <v>28778.78</v>
      </c>
      <c r="AS799" s="3">
        <f>19506.43+9217.59</f>
        <v>28724.02</v>
      </c>
      <c r="AT799" s="3">
        <f>19506.43+8867.25</f>
        <v>28373.68</v>
      </c>
      <c r="AU799" s="3">
        <f>19506.43+9108.07</f>
        <v>28614.5</v>
      </c>
      <c r="AV799" s="3">
        <f>19506.43+8761.27</f>
        <v>28267.7</v>
      </c>
      <c r="AW799" s="3">
        <f>19506.43+8998.55</f>
        <v>28504.98</v>
      </c>
      <c r="AX799" s="3">
        <f>19506.43+8943.79</f>
        <v>28450.22</v>
      </c>
      <c r="AY799" s="3">
        <f>19506.43+8028.81</f>
        <v>27535.24</v>
      </c>
      <c r="AZ799" s="3">
        <f>19506.43+8834.28</f>
        <v>28340.71</v>
      </c>
      <c r="BA799" s="3">
        <f>19506.43+8496.31</f>
        <v>28002.739999999998</v>
      </c>
      <c r="BB799" s="3">
        <f>19506.43+8724.76</f>
        <v>28231.190000000002</v>
      </c>
      <c r="BC799" s="44">
        <f>19506.43+8390.32</f>
        <v>27896.75</v>
      </c>
      <c r="BD799" s="3">
        <f>SUM(AR799:BC799)</f>
        <v>339720.51</v>
      </c>
    </row>
    <row r="800" spans="1:56" ht="13.5" thickBot="1" x14ac:dyDescent="0.35">
      <c r="D800" s="13" t="s">
        <v>380</v>
      </c>
      <c r="E800" s="14">
        <f t="shared" ref="E800:AC800" si="672">SUM(E797:E799)</f>
        <v>0</v>
      </c>
      <c r="F800" s="14">
        <f t="shared" si="672"/>
        <v>0</v>
      </c>
      <c r="G800" s="14">
        <f t="shared" si="672"/>
        <v>0</v>
      </c>
      <c r="H800" s="14">
        <f t="shared" si="672"/>
        <v>0</v>
      </c>
      <c r="I800" s="14">
        <f t="shared" si="672"/>
        <v>0</v>
      </c>
      <c r="J800" s="14">
        <f t="shared" si="672"/>
        <v>0</v>
      </c>
      <c r="K800" s="14">
        <f t="shared" si="672"/>
        <v>0</v>
      </c>
      <c r="L800" s="14">
        <f t="shared" si="672"/>
        <v>0</v>
      </c>
      <c r="M800" s="14">
        <f t="shared" si="672"/>
        <v>0</v>
      </c>
      <c r="N800" s="14">
        <f t="shared" si="672"/>
        <v>0</v>
      </c>
      <c r="O800" s="14">
        <f t="shared" si="672"/>
        <v>27181.040000000001</v>
      </c>
      <c r="P800" s="14">
        <f t="shared" si="672"/>
        <v>26751.34</v>
      </c>
      <c r="Q800" s="14">
        <f t="shared" si="672"/>
        <v>53932.380000000005</v>
      </c>
      <c r="R800" s="14">
        <f t="shared" si="672"/>
        <v>29512.400000000001</v>
      </c>
      <c r="S800" s="14">
        <f t="shared" si="672"/>
        <v>29209.86</v>
      </c>
      <c r="T800" s="14">
        <f t="shared" si="672"/>
        <v>28820.5</v>
      </c>
      <c r="U800" s="14">
        <f t="shared" si="672"/>
        <v>29104.79</v>
      </c>
      <c r="V800" s="14">
        <f t="shared" si="672"/>
        <v>28718.81</v>
      </c>
      <c r="W800" s="14">
        <f t="shared" si="672"/>
        <v>28999.71</v>
      </c>
      <c r="X800" s="14">
        <f t="shared" si="672"/>
        <v>28947.17</v>
      </c>
      <c r="Y800" s="14">
        <f t="shared" si="672"/>
        <v>27909.57</v>
      </c>
      <c r="Z800" s="14">
        <f t="shared" si="672"/>
        <v>28842.09</v>
      </c>
      <c r="AA800" s="14">
        <f t="shared" si="672"/>
        <v>28464.59</v>
      </c>
      <c r="AB800" s="14">
        <f t="shared" si="672"/>
        <v>28737.01</v>
      </c>
      <c r="AC800" s="14">
        <f t="shared" si="672"/>
        <v>28362.9</v>
      </c>
      <c r="AD800" s="14">
        <f>SUM(AD797:AD799)</f>
        <v>345629.4</v>
      </c>
      <c r="AE800" s="14">
        <f>SUM(AE797:AE799)</f>
        <v>29281.200000000001</v>
      </c>
      <c r="AF800" s="14">
        <f>SUM(AF797:AF799)</f>
        <v>28977.54</v>
      </c>
      <c r="AG800" s="14">
        <f t="shared" ref="AG800:AP800" si="673">SUM(AG797:AG799)</f>
        <v>28607.46</v>
      </c>
      <c r="AH800" s="14">
        <f t="shared" si="673"/>
        <v>28870.22</v>
      </c>
      <c r="AI800" s="14">
        <f t="shared" si="673"/>
        <v>28503.599999999999</v>
      </c>
      <c r="AJ800" s="14">
        <f t="shared" si="673"/>
        <v>28762.9</v>
      </c>
      <c r="AK800" s="14">
        <f t="shared" si="673"/>
        <v>28709.24</v>
      </c>
      <c r="AL800" s="14">
        <f t="shared" si="673"/>
        <v>28040.05</v>
      </c>
      <c r="AM800" s="14">
        <f t="shared" si="673"/>
        <v>28601.919999999998</v>
      </c>
      <c r="AN800" s="14">
        <f t="shared" si="673"/>
        <v>28243.96</v>
      </c>
      <c r="AO800" s="14">
        <f t="shared" si="673"/>
        <v>28494.6</v>
      </c>
      <c r="AP800" s="14">
        <f t="shared" si="673"/>
        <v>28140.1</v>
      </c>
      <c r="AQ800" s="22">
        <f>SUM(AQ797:AQ799)</f>
        <v>343232.79</v>
      </c>
      <c r="AR800" s="22">
        <f t="shared" ref="AR800:BD800" si="674">SUM(AR797:AR799)</f>
        <v>29028.78</v>
      </c>
      <c r="AS800" s="22">
        <f t="shared" si="674"/>
        <v>28724.02</v>
      </c>
      <c r="AT800" s="22">
        <f t="shared" si="674"/>
        <v>28373.68</v>
      </c>
      <c r="AU800" s="22">
        <f t="shared" si="674"/>
        <v>28614.5</v>
      </c>
      <c r="AV800" s="22">
        <f t="shared" si="674"/>
        <v>28267.7</v>
      </c>
      <c r="AW800" s="22">
        <f t="shared" si="674"/>
        <v>28504.98</v>
      </c>
      <c r="AX800" s="22">
        <f t="shared" si="674"/>
        <v>28450.22</v>
      </c>
      <c r="AY800" s="22">
        <f t="shared" si="674"/>
        <v>27535.24</v>
      </c>
      <c r="AZ800" s="22">
        <f t="shared" si="674"/>
        <v>28340.71</v>
      </c>
      <c r="BA800" s="22">
        <f t="shared" si="674"/>
        <v>28002.739999999998</v>
      </c>
      <c r="BB800" s="22">
        <f t="shared" si="674"/>
        <v>28231.190000000002</v>
      </c>
      <c r="BC800" s="22">
        <f t="shared" si="674"/>
        <v>27896.75</v>
      </c>
      <c r="BD800" s="22">
        <f t="shared" si="674"/>
        <v>339970.51</v>
      </c>
    </row>
    <row r="801" spans="1:56" x14ac:dyDescent="0.3">
      <c r="D801" s="15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</row>
    <row r="802" spans="1:56" ht="15.5" x14ac:dyDescent="0.35">
      <c r="B802" s="20">
        <f>+B796+1</f>
        <v>98</v>
      </c>
      <c r="C802" s="1" t="s">
        <v>14</v>
      </c>
      <c r="D802" s="25" t="s">
        <v>381</v>
      </c>
    </row>
    <row r="803" spans="1:56" x14ac:dyDescent="0.3">
      <c r="D803" s="8" t="s">
        <v>8</v>
      </c>
      <c r="E803" s="12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f>SUM(E803:P803)</f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12">
        <f>SUM(R803:AC803)</f>
        <v>0</v>
      </c>
      <c r="AE803" s="12">
        <v>0</v>
      </c>
      <c r="AF803" s="12">
        <v>0</v>
      </c>
      <c r="AG803" s="12">
        <v>0</v>
      </c>
      <c r="AH803" s="12">
        <v>0</v>
      </c>
      <c r="AI803" s="12">
        <v>0</v>
      </c>
      <c r="AJ803" s="12">
        <v>0</v>
      </c>
      <c r="AK803" s="12">
        <v>0</v>
      </c>
      <c r="AL803" s="12">
        <v>0</v>
      </c>
      <c r="AM803" s="12">
        <v>0</v>
      </c>
      <c r="AN803" s="12">
        <v>0</v>
      </c>
      <c r="AO803" s="12">
        <v>0</v>
      </c>
      <c r="AP803" s="12">
        <v>0</v>
      </c>
      <c r="AQ803" s="3">
        <f>SUM(AE803:AP803)</f>
        <v>0</v>
      </c>
      <c r="AR803" s="3">
        <v>0</v>
      </c>
      <c r="AS803" s="3">
        <v>0</v>
      </c>
      <c r="AT803" s="3">
        <v>0</v>
      </c>
      <c r="AU803" s="3">
        <v>0</v>
      </c>
      <c r="AV803" s="3">
        <v>0</v>
      </c>
      <c r="AW803" s="3">
        <v>0</v>
      </c>
      <c r="AX803" s="3">
        <v>0</v>
      </c>
      <c r="AY803" s="3">
        <v>0</v>
      </c>
      <c r="AZ803" s="3">
        <v>0</v>
      </c>
      <c r="BA803" s="3">
        <v>0</v>
      </c>
      <c r="BB803" s="3">
        <v>0</v>
      </c>
      <c r="BC803" s="3">
        <v>0</v>
      </c>
      <c r="BD803" s="3">
        <f>SUM(AR803:BC803)</f>
        <v>0</v>
      </c>
    </row>
    <row r="804" spans="1:56" x14ac:dyDescent="0.3">
      <c r="D804" s="8" t="s">
        <v>9</v>
      </c>
      <c r="E804" s="11"/>
      <c r="F804" s="11"/>
      <c r="I804" s="11"/>
      <c r="K804" s="11"/>
      <c r="L804" s="11"/>
      <c r="M804" s="11"/>
      <c r="N804" s="11"/>
      <c r="O804" s="11">
        <v>41.67</v>
      </c>
      <c r="P804" s="11"/>
      <c r="Q804" s="12">
        <f>SUM(E804:P804)</f>
        <v>41.67</v>
      </c>
      <c r="R804" s="11">
        <v>250</v>
      </c>
      <c r="AD804" s="12">
        <f>SUM(R804:AC804)</f>
        <v>250</v>
      </c>
      <c r="AE804" s="11">
        <v>250</v>
      </c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3">
        <f>SUM(AE804:AP804)</f>
        <v>250</v>
      </c>
      <c r="AR804" s="3">
        <v>250</v>
      </c>
      <c r="AS804" s="3">
        <v>0</v>
      </c>
      <c r="AT804" s="3">
        <v>0</v>
      </c>
      <c r="AU804" s="3">
        <v>0</v>
      </c>
      <c r="AV804" s="3">
        <v>0</v>
      </c>
      <c r="AW804" s="3">
        <v>0</v>
      </c>
      <c r="AX804" s="3">
        <v>0</v>
      </c>
      <c r="AY804" s="3">
        <v>0</v>
      </c>
      <c r="AZ804" s="3">
        <v>0</v>
      </c>
      <c r="BA804" s="3">
        <v>0</v>
      </c>
      <c r="BB804" s="3">
        <v>0</v>
      </c>
      <c r="BC804" s="3">
        <v>0</v>
      </c>
      <c r="BD804" s="3">
        <f>SUM(AR804:BC804)</f>
        <v>250</v>
      </c>
    </row>
    <row r="805" spans="1:56" ht="13.5" thickBot="1" x14ac:dyDescent="0.35">
      <c r="A805" t="s">
        <v>382</v>
      </c>
      <c r="D805" s="8" t="s">
        <v>10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f>SUM(E805:P805)</f>
        <v>0</v>
      </c>
      <c r="R805" s="12">
        <v>15102.03</v>
      </c>
      <c r="S805" s="12">
        <v>15102.03</v>
      </c>
      <c r="T805" s="12">
        <v>15102.03</v>
      </c>
      <c r="U805" s="12">
        <v>15102.03</v>
      </c>
      <c r="V805" s="12">
        <v>15102.04</v>
      </c>
      <c r="W805" s="12">
        <v>15102.03</v>
      </c>
      <c r="X805" s="12">
        <v>31793.75</v>
      </c>
      <c r="Y805" s="12">
        <v>31793.75</v>
      </c>
      <c r="Z805" s="12">
        <v>31793.75</v>
      </c>
      <c r="AA805" s="12">
        <v>31793.75</v>
      </c>
      <c r="AB805" s="12">
        <v>31793.75</v>
      </c>
      <c r="AC805" s="12">
        <v>31793.75</v>
      </c>
      <c r="AD805" s="12">
        <f>SUM(R805:AC805)</f>
        <v>281374.69</v>
      </c>
      <c r="AE805" s="12">
        <v>31793.75</v>
      </c>
      <c r="AF805" s="12">
        <v>31793.75</v>
      </c>
      <c r="AG805" s="12">
        <v>31793.75</v>
      </c>
      <c r="AH805" s="12">
        <v>31793.75</v>
      </c>
      <c r="AI805" s="12">
        <v>31793.75</v>
      </c>
      <c r="AJ805" s="12">
        <v>31793.75</v>
      </c>
      <c r="AK805" s="12">
        <v>31793.75</v>
      </c>
      <c r="AL805" s="12">
        <v>31793.75</v>
      </c>
      <c r="AM805" s="12">
        <v>31793.75</v>
      </c>
      <c r="AN805" s="12">
        <v>31793.75</v>
      </c>
      <c r="AO805" s="12">
        <v>31793.75</v>
      </c>
      <c r="AP805" s="12">
        <v>31793.75</v>
      </c>
      <c r="AQ805" s="3">
        <f>SUM(AE805:AP805)</f>
        <v>381525</v>
      </c>
      <c r="AR805" s="3">
        <f>1666.67+31793.75</f>
        <v>33460.42</v>
      </c>
      <c r="AS805" s="3">
        <f t="shared" ref="AS805:AY805" si="675">1666.67+31793.75</f>
        <v>33460.42</v>
      </c>
      <c r="AT805" s="3">
        <f t="shared" si="675"/>
        <v>33460.42</v>
      </c>
      <c r="AU805" s="3">
        <f t="shared" si="675"/>
        <v>33460.42</v>
      </c>
      <c r="AV805" s="3">
        <f t="shared" si="675"/>
        <v>33460.42</v>
      </c>
      <c r="AW805" s="3">
        <f t="shared" si="675"/>
        <v>33460.42</v>
      </c>
      <c r="AX805" s="3">
        <f t="shared" si="675"/>
        <v>33460.42</v>
      </c>
      <c r="AY805" s="3">
        <f t="shared" si="675"/>
        <v>33460.42</v>
      </c>
      <c r="AZ805" s="3">
        <f>1666.66+31793.75</f>
        <v>33460.410000000003</v>
      </c>
      <c r="BA805" s="3">
        <f t="shared" ref="BA805:BC805" si="676">1666.66+31793.75</f>
        <v>33460.410000000003</v>
      </c>
      <c r="BB805" s="3">
        <f t="shared" si="676"/>
        <v>33460.410000000003</v>
      </c>
      <c r="BC805" s="3">
        <f t="shared" si="676"/>
        <v>33460.410000000003</v>
      </c>
      <c r="BD805" s="3">
        <f>SUM(AR805:BC805)</f>
        <v>401525</v>
      </c>
    </row>
    <row r="806" spans="1:56" ht="13.5" thickBot="1" x14ac:dyDescent="0.35">
      <c r="D806" s="13" t="s">
        <v>383</v>
      </c>
      <c r="E806" s="14">
        <f t="shared" ref="E806:AC806" si="677">SUM(E803:E805)</f>
        <v>0</v>
      </c>
      <c r="F806" s="14">
        <f t="shared" si="677"/>
        <v>0</v>
      </c>
      <c r="G806" s="14">
        <f t="shared" si="677"/>
        <v>0</v>
      </c>
      <c r="H806" s="14">
        <f t="shared" si="677"/>
        <v>0</v>
      </c>
      <c r="I806" s="14">
        <f t="shared" si="677"/>
        <v>0</v>
      </c>
      <c r="J806" s="14">
        <f t="shared" si="677"/>
        <v>0</v>
      </c>
      <c r="K806" s="14">
        <f t="shared" si="677"/>
        <v>0</v>
      </c>
      <c r="L806" s="14">
        <f t="shared" si="677"/>
        <v>0</v>
      </c>
      <c r="M806" s="14">
        <f t="shared" si="677"/>
        <v>0</v>
      </c>
      <c r="N806" s="14">
        <f t="shared" si="677"/>
        <v>0</v>
      </c>
      <c r="O806" s="14">
        <f t="shared" si="677"/>
        <v>41.67</v>
      </c>
      <c r="P806" s="14">
        <f t="shared" si="677"/>
        <v>0</v>
      </c>
      <c r="Q806" s="14">
        <f t="shared" si="677"/>
        <v>41.67</v>
      </c>
      <c r="R806" s="14">
        <f t="shared" si="677"/>
        <v>15352.03</v>
      </c>
      <c r="S806" s="14">
        <f t="shared" si="677"/>
        <v>15102.03</v>
      </c>
      <c r="T806" s="14">
        <f t="shared" si="677"/>
        <v>15102.03</v>
      </c>
      <c r="U806" s="14">
        <f t="shared" si="677"/>
        <v>15102.03</v>
      </c>
      <c r="V806" s="14">
        <f t="shared" si="677"/>
        <v>15102.04</v>
      </c>
      <c r="W806" s="14">
        <f t="shared" si="677"/>
        <v>15102.03</v>
      </c>
      <c r="X806" s="14">
        <f t="shared" si="677"/>
        <v>31793.75</v>
      </c>
      <c r="Y806" s="14">
        <f t="shared" si="677"/>
        <v>31793.75</v>
      </c>
      <c r="Z806" s="14">
        <f t="shared" si="677"/>
        <v>31793.75</v>
      </c>
      <c r="AA806" s="14">
        <f t="shared" si="677"/>
        <v>31793.75</v>
      </c>
      <c r="AB806" s="14">
        <f t="shared" si="677"/>
        <v>31793.75</v>
      </c>
      <c r="AC806" s="14">
        <f t="shared" si="677"/>
        <v>31793.75</v>
      </c>
      <c r="AD806" s="14">
        <f>SUM(AD803:AD805)</f>
        <v>281624.69</v>
      </c>
      <c r="AE806" s="14">
        <f>SUM(AE803:AE805)</f>
        <v>32043.75</v>
      </c>
      <c r="AF806" s="14">
        <f>SUM(AF803:AF805)</f>
        <v>31793.75</v>
      </c>
      <c r="AG806" s="14">
        <f t="shared" ref="AG806:AP806" si="678">SUM(AG803:AG805)</f>
        <v>31793.75</v>
      </c>
      <c r="AH806" s="14">
        <f t="shared" si="678"/>
        <v>31793.75</v>
      </c>
      <c r="AI806" s="14">
        <f t="shared" si="678"/>
        <v>31793.75</v>
      </c>
      <c r="AJ806" s="14">
        <f t="shared" si="678"/>
        <v>31793.75</v>
      </c>
      <c r="AK806" s="14">
        <f t="shared" si="678"/>
        <v>31793.75</v>
      </c>
      <c r="AL806" s="14">
        <f t="shared" si="678"/>
        <v>31793.75</v>
      </c>
      <c r="AM806" s="14">
        <f t="shared" si="678"/>
        <v>31793.75</v>
      </c>
      <c r="AN806" s="14">
        <f t="shared" si="678"/>
        <v>31793.75</v>
      </c>
      <c r="AO806" s="14">
        <f t="shared" si="678"/>
        <v>31793.75</v>
      </c>
      <c r="AP806" s="14">
        <f t="shared" si="678"/>
        <v>31793.75</v>
      </c>
      <c r="AQ806" s="22">
        <f>SUM(AQ803:AQ805)</f>
        <v>381775</v>
      </c>
      <c r="AR806" s="22">
        <f t="shared" ref="AR806:BD806" si="679">SUM(AR803:AR805)</f>
        <v>33710.42</v>
      </c>
      <c r="AS806" s="22">
        <f t="shared" si="679"/>
        <v>33460.42</v>
      </c>
      <c r="AT806" s="22">
        <f t="shared" si="679"/>
        <v>33460.42</v>
      </c>
      <c r="AU806" s="22">
        <f t="shared" si="679"/>
        <v>33460.42</v>
      </c>
      <c r="AV806" s="22">
        <f t="shared" si="679"/>
        <v>33460.42</v>
      </c>
      <c r="AW806" s="22">
        <f t="shared" si="679"/>
        <v>33460.42</v>
      </c>
      <c r="AX806" s="22">
        <f t="shared" si="679"/>
        <v>33460.42</v>
      </c>
      <c r="AY806" s="22">
        <f t="shared" si="679"/>
        <v>33460.42</v>
      </c>
      <c r="AZ806" s="22">
        <f t="shared" si="679"/>
        <v>33460.410000000003</v>
      </c>
      <c r="BA806" s="22">
        <f t="shared" si="679"/>
        <v>33460.410000000003</v>
      </c>
      <c r="BB806" s="22">
        <f t="shared" si="679"/>
        <v>33460.410000000003</v>
      </c>
      <c r="BC806" s="22">
        <f t="shared" si="679"/>
        <v>33460.410000000003</v>
      </c>
      <c r="BD806" s="22">
        <f t="shared" si="679"/>
        <v>401775</v>
      </c>
    </row>
    <row r="807" spans="1:56" x14ac:dyDescent="0.3">
      <c r="D807" s="15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</row>
    <row r="808" spans="1:56" ht="15.5" x14ac:dyDescent="0.35">
      <c r="B808" s="20">
        <f>+B802+1</f>
        <v>99</v>
      </c>
      <c r="C808" s="1" t="s">
        <v>14</v>
      </c>
      <c r="D808" s="25" t="s">
        <v>384</v>
      </c>
      <c r="AV808" s="28"/>
    </row>
    <row r="809" spans="1:56" x14ac:dyDescent="0.3">
      <c r="D809" s="8" t="s">
        <v>8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f>SUM(E809:P809)</f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12">
        <f>SUM(R809:AC809)</f>
        <v>0</v>
      </c>
      <c r="AE809" s="12">
        <v>0</v>
      </c>
      <c r="AF809" s="12">
        <v>0</v>
      </c>
      <c r="AG809" s="12">
        <v>0</v>
      </c>
      <c r="AH809" s="12">
        <v>0</v>
      </c>
      <c r="AI809" s="12">
        <v>0</v>
      </c>
      <c r="AJ809" s="12">
        <v>0</v>
      </c>
      <c r="AK809" s="12">
        <v>0</v>
      </c>
      <c r="AL809" s="12">
        <v>0</v>
      </c>
      <c r="AM809" s="12">
        <v>0</v>
      </c>
      <c r="AN809" s="12">
        <v>0</v>
      </c>
      <c r="AO809" s="12">
        <v>0</v>
      </c>
      <c r="AP809" s="12">
        <v>0</v>
      </c>
      <c r="AQ809" s="3">
        <f>SUM(AE809:AP809)</f>
        <v>0</v>
      </c>
      <c r="AR809" s="3">
        <v>0</v>
      </c>
      <c r="AS809" s="3">
        <v>0</v>
      </c>
      <c r="AT809" s="3">
        <v>0</v>
      </c>
      <c r="AU809" s="3">
        <v>0</v>
      </c>
      <c r="AV809" s="3">
        <v>0</v>
      </c>
      <c r="AW809" s="3">
        <v>0</v>
      </c>
      <c r="AX809" s="3">
        <v>0</v>
      </c>
      <c r="AY809" s="3">
        <v>0</v>
      </c>
      <c r="AZ809" s="3">
        <v>0</v>
      </c>
      <c r="BA809" s="3">
        <v>0</v>
      </c>
      <c r="BB809" s="3">
        <v>0</v>
      </c>
      <c r="BC809" s="3">
        <v>0</v>
      </c>
      <c r="BD809" s="3">
        <f>SUM(AR809:BC809)</f>
        <v>0</v>
      </c>
    </row>
    <row r="810" spans="1:56" x14ac:dyDescent="0.3">
      <c r="D810" s="8" t="s">
        <v>9</v>
      </c>
      <c r="E810" s="11"/>
      <c r="F810" s="11"/>
      <c r="I810" s="11"/>
      <c r="K810" s="11"/>
      <c r="L810" s="11"/>
      <c r="M810" s="11"/>
      <c r="N810" s="11"/>
      <c r="O810" s="11">
        <v>41.67</v>
      </c>
      <c r="P810" s="11"/>
      <c r="Q810" s="12">
        <f>SUM(E810:P810)</f>
        <v>41.67</v>
      </c>
      <c r="R810" s="11">
        <v>250</v>
      </c>
      <c r="AD810" s="12">
        <f>SUM(R810:AC810)</f>
        <v>250</v>
      </c>
      <c r="AE810" s="11">
        <v>250</v>
      </c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3">
        <f>SUM(AE810:AP810)</f>
        <v>250</v>
      </c>
      <c r="AR810" s="3">
        <v>250</v>
      </c>
      <c r="AS810" s="3">
        <v>0</v>
      </c>
      <c r="AT810" s="3">
        <v>0</v>
      </c>
      <c r="AU810" s="3">
        <v>0</v>
      </c>
      <c r="AV810" s="3">
        <v>0</v>
      </c>
      <c r="AW810" s="3">
        <v>0</v>
      </c>
      <c r="AX810" s="3">
        <v>0</v>
      </c>
      <c r="AY810" s="3">
        <v>0</v>
      </c>
      <c r="AZ810" s="3">
        <v>0</v>
      </c>
      <c r="BA810" s="3">
        <v>0</v>
      </c>
      <c r="BB810" s="3">
        <v>0</v>
      </c>
      <c r="BC810" s="3">
        <v>0</v>
      </c>
      <c r="BD810" s="3">
        <f>SUM(AR810:BC810)</f>
        <v>250</v>
      </c>
    </row>
    <row r="811" spans="1:56" ht="13.5" thickBot="1" x14ac:dyDescent="0.35">
      <c r="A811" t="s">
        <v>385</v>
      </c>
      <c r="D811" s="8" t="s">
        <v>10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40649.589999999997</v>
      </c>
      <c r="P811" s="12">
        <v>40649.58</v>
      </c>
      <c r="Q811" s="12">
        <f>SUM(E811:P811)</f>
        <v>81299.17</v>
      </c>
      <c r="R811" s="12">
        <v>6675</v>
      </c>
      <c r="S811" s="12">
        <v>6675</v>
      </c>
      <c r="T811" s="12">
        <v>6675</v>
      </c>
      <c r="U811" s="12">
        <v>6675</v>
      </c>
      <c r="V811" s="12">
        <v>6675</v>
      </c>
      <c r="W811" s="12">
        <v>6675</v>
      </c>
      <c r="X811" s="12">
        <v>31675</v>
      </c>
      <c r="Y811" s="12">
        <v>31675</v>
      </c>
      <c r="Z811" s="12">
        <v>31675</v>
      </c>
      <c r="AA811" s="12">
        <v>31675</v>
      </c>
      <c r="AB811" s="12">
        <v>31675</v>
      </c>
      <c r="AC811" s="12">
        <v>31675</v>
      </c>
      <c r="AD811" s="12">
        <f>SUM(R811:AC811)</f>
        <v>230100</v>
      </c>
      <c r="AE811" s="12">
        <v>6675</v>
      </c>
      <c r="AF811" s="12">
        <v>6675</v>
      </c>
      <c r="AG811" s="12">
        <v>6675</v>
      </c>
      <c r="AH811" s="12">
        <v>6675</v>
      </c>
      <c r="AI811" s="12">
        <v>6675</v>
      </c>
      <c r="AJ811" s="12">
        <v>6675</v>
      </c>
      <c r="AK811" s="12">
        <v>31675</v>
      </c>
      <c r="AL811" s="12">
        <v>31675</v>
      </c>
      <c r="AM811" s="12">
        <v>31675</v>
      </c>
      <c r="AN811" s="12">
        <v>31675</v>
      </c>
      <c r="AO811" s="12">
        <v>31675</v>
      </c>
      <c r="AP811" s="12">
        <v>31675</v>
      </c>
      <c r="AQ811" s="3">
        <f>SUM(AE811:AP811)</f>
        <v>230100</v>
      </c>
      <c r="AR811" s="3">
        <f>12916.67+31675</f>
        <v>44591.67</v>
      </c>
      <c r="AS811" s="3">
        <f t="shared" ref="AS811:BB811" si="680">12916.67+31675</f>
        <v>44591.67</v>
      </c>
      <c r="AT811" s="3">
        <f t="shared" si="680"/>
        <v>44591.67</v>
      </c>
      <c r="AU811" s="3">
        <f t="shared" si="680"/>
        <v>44591.67</v>
      </c>
      <c r="AV811" s="3">
        <f t="shared" si="680"/>
        <v>44591.67</v>
      </c>
      <c r="AW811" s="3">
        <f t="shared" si="680"/>
        <v>44591.67</v>
      </c>
      <c r="AX811" s="3">
        <f t="shared" si="680"/>
        <v>44591.67</v>
      </c>
      <c r="AY811" s="3">
        <f t="shared" si="680"/>
        <v>44591.67</v>
      </c>
      <c r="AZ811" s="3">
        <f t="shared" si="680"/>
        <v>44591.67</v>
      </c>
      <c r="BA811" s="3">
        <f t="shared" si="680"/>
        <v>44591.67</v>
      </c>
      <c r="BB811" s="3">
        <f t="shared" si="680"/>
        <v>44591.67</v>
      </c>
      <c r="BC811" s="3">
        <f>12916.63+31675</f>
        <v>44591.63</v>
      </c>
      <c r="BD811" s="3">
        <f>SUM(AR811:BC811)</f>
        <v>535099.99999999988</v>
      </c>
    </row>
    <row r="812" spans="1:56" ht="13.5" thickBot="1" x14ac:dyDescent="0.35">
      <c r="D812" s="13" t="s">
        <v>386</v>
      </c>
      <c r="E812" s="14">
        <f t="shared" ref="E812:AC812" si="681">SUM(E809:E811)</f>
        <v>0</v>
      </c>
      <c r="F812" s="14">
        <f t="shared" si="681"/>
        <v>0</v>
      </c>
      <c r="G812" s="14">
        <f t="shared" si="681"/>
        <v>0</v>
      </c>
      <c r="H812" s="14">
        <f t="shared" si="681"/>
        <v>0</v>
      </c>
      <c r="I812" s="14">
        <f t="shared" si="681"/>
        <v>0</v>
      </c>
      <c r="J812" s="14">
        <f t="shared" si="681"/>
        <v>0</v>
      </c>
      <c r="K812" s="14">
        <f t="shared" si="681"/>
        <v>0</v>
      </c>
      <c r="L812" s="14">
        <f t="shared" si="681"/>
        <v>0</v>
      </c>
      <c r="M812" s="14">
        <f t="shared" si="681"/>
        <v>0</v>
      </c>
      <c r="N812" s="14">
        <f t="shared" si="681"/>
        <v>0</v>
      </c>
      <c r="O812" s="14">
        <f t="shared" si="681"/>
        <v>40691.259999999995</v>
      </c>
      <c r="P812" s="14">
        <f t="shared" si="681"/>
        <v>40649.58</v>
      </c>
      <c r="Q812" s="14">
        <f t="shared" si="681"/>
        <v>81340.84</v>
      </c>
      <c r="R812" s="14">
        <f t="shared" si="681"/>
        <v>6925</v>
      </c>
      <c r="S812" s="14">
        <f t="shared" si="681"/>
        <v>6675</v>
      </c>
      <c r="T812" s="14">
        <f t="shared" si="681"/>
        <v>6675</v>
      </c>
      <c r="U812" s="14">
        <f t="shared" si="681"/>
        <v>6675</v>
      </c>
      <c r="V812" s="14">
        <f t="shared" si="681"/>
        <v>6675</v>
      </c>
      <c r="W812" s="14">
        <f t="shared" si="681"/>
        <v>6675</v>
      </c>
      <c r="X812" s="14">
        <f t="shared" si="681"/>
        <v>31675</v>
      </c>
      <c r="Y812" s="14">
        <f t="shared" si="681"/>
        <v>31675</v>
      </c>
      <c r="Z812" s="14">
        <f t="shared" si="681"/>
        <v>31675</v>
      </c>
      <c r="AA812" s="14">
        <f t="shared" si="681"/>
        <v>31675</v>
      </c>
      <c r="AB812" s="14">
        <f t="shared" si="681"/>
        <v>31675</v>
      </c>
      <c r="AC812" s="14">
        <f t="shared" si="681"/>
        <v>31675</v>
      </c>
      <c r="AD812" s="14">
        <f>SUM(AD809:AD811)</f>
        <v>230350</v>
      </c>
      <c r="AE812" s="14">
        <f>SUM(AE809:AE811)</f>
        <v>6925</v>
      </c>
      <c r="AF812" s="14">
        <f>SUM(AF809:AF811)</f>
        <v>6675</v>
      </c>
      <c r="AG812" s="14">
        <f t="shared" ref="AG812:AP812" si="682">SUM(AG809:AG811)</f>
        <v>6675</v>
      </c>
      <c r="AH812" s="14">
        <f t="shared" si="682"/>
        <v>6675</v>
      </c>
      <c r="AI812" s="14">
        <f t="shared" si="682"/>
        <v>6675</v>
      </c>
      <c r="AJ812" s="14">
        <f t="shared" si="682"/>
        <v>6675</v>
      </c>
      <c r="AK812" s="14">
        <f t="shared" si="682"/>
        <v>31675</v>
      </c>
      <c r="AL812" s="14">
        <f t="shared" si="682"/>
        <v>31675</v>
      </c>
      <c r="AM812" s="14">
        <f t="shared" si="682"/>
        <v>31675</v>
      </c>
      <c r="AN812" s="14">
        <f t="shared" si="682"/>
        <v>31675</v>
      </c>
      <c r="AO812" s="14">
        <f t="shared" si="682"/>
        <v>31675</v>
      </c>
      <c r="AP812" s="14">
        <f t="shared" si="682"/>
        <v>31675</v>
      </c>
      <c r="AQ812" s="22">
        <f>SUM(AQ809:AQ811)</f>
        <v>230350</v>
      </c>
      <c r="AR812" s="22">
        <f t="shared" ref="AR812:BD812" si="683">SUM(AR809:AR811)</f>
        <v>44841.67</v>
      </c>
      <c r="AS812" s="22">
        <f t="shared" si="683"/>
        <v>44591.67</v>
      </c>
      <c r="AT812" s="22">
        <f t="shared" si="683"/>
        <v>44591.67</v>
      </c>
      <c r="AU812" s="22">
        <f t="shared" si="683"/>
        <v>44591.67</v>
      </c>
      <c r="AV812" s="22">
        <f t="shared" si="683"/>
        <v>44591.67</v>
      </c>
      <c r="AW812" s="22">
        <f t="shared" si="683"/>
        <v>44591.67</v>
      </c>
      <c r="AX812" s="22">
        <f t="shared" si="683"/>
        <v>44591.67</v>
      </c>
      <c r="AY812" s="22">
        <f t="shared" si="683"/>
        <v>44591.67</v>
      </c>
      <c r="AZ812" s="22">
        <f t="shared" si="683"/>
        <v>44591.67</v>
      </c>
      <c r="BA812" s="22">
        <f t="shared" si="683"/>
        <v>44591.67</v>
      </c>
      <c r="BB812" s="22">
        <f t="shared" si="683"/>
        <v>44591.67</v>
      </c>
      <c r="BC812" s="22">
        <f t="shared" si="683"/>
        <v>44591.63</v>
      </c>
      <c r="BD812" s="22">
        <f t="shared" si="683"/>
        <v>535349.99999999988</v>
      </c>
    </row>
    <row r="813" spans="1:56" x14ac:dyDescent="0.3">
      <c r="D813" s="15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AV813" s="28"/>
    </row>
    <row r="814" spans="1:56" ht="15.5" x14ac:dyDescent="0.35">
      <c r="B814" s="20">
        <f>+B808+1</f>
        <v>100</v>
      </c>
      <c r="C814" s="1" t="s">
        <v>14</v>
      </c>
      <c r="D814" s="25" t="s">
        <v>387</v>
      </c>
      <c r="AV814" s="28"/>
    </row>
    <row r="815" spans="1:56" x14ac:dyDescent="0.3">
      <c r="D815" s="8" t="s">
        <v>8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f>SUM(E815:P815)</f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12">
        <f>SUM(R815:AC815)</f>
        <v>0</v>
      </c>
      <c r="AE815" s="12">
        <v>0</v>
      </c>
      <c r="AF815" s="12">
        <v>0</v>
      </c>
      <c r="AG815" s="12">
        <v>0</v>
      </c>
      <c r="AH815" s="12">
        <v>0</v>
      </c>
      <c r="AI815" s="12">
        <v>0</v>
      </c>
      <c r="AJ815" s="12">
        <v>0</v>
      </c>
      <c r="AK815" s="12">
        <v>0</v>
      </c>
      <c r="AL815" s="12">
        <v>0</v>
      </c>
      <c r="AM815" s="12">
        <v>0</v>
      </c>
      <c r="AN815" s="12">
        <v>0</v>
      </c>
      <c r="AO815" s="12">
        <v>0</v>
      </c>
      <c r="AP815" s="12">
        <v>0</v>
      </c>
      <c r="AQ815" s="3">
        <f>SUM(AE815:AP815)</f>
        <v>0</v>
      </c>
      <c r="AR815" s="3">
        <v>0</v>
      </c>
      <c r="AS815" s="3">
        <v>0</v>
      </c>
      <c r="AT815" s="3">
        <v>0</v>
      </c>
      <c r="AU815" s="3">
        <v>0</v>
      </c>
      <c r="AV815" s="3">
        <v>0</v>
      </c>
      <c r="AW815" s="3">
        <v>0</v>
      </c>
      <c r="AX815" s="3">
        <v>0</v>
      </c>
      <c r="AY815" s="3">
        <v>0</v>
      </c>
      <c r="AZ815" s="3">
        <v>0</v>
      </c>
      <c r="BA815" s="3">
        <v>0</v>
      </c>
      <c r="BB815" s="3">
        <v>0</v>
      </c>
      <c r="BC815" s="3">
        <v>0</v>
      </c>
      <c r="BD815" s="3">
        <f>SUM(AR815:BC815)</f>
        <v>0</v>
      </c>
    </row>
    <row r="816" spans="1:56" x14ac:dyDescent="0.3">
      <c r="D816" s="8" t="s">
        <v>9</v>
      </c>
      <c r="E816" s="11"/>
      <c r="F816" s="11"/>
      <c r="I816" s="11"/>
      <c r="K816" s="11"/>
      <c r="L816" s="11"/>
      <c r="M816" s="11"/>
      <c r="N816" s="11"/>
      <c r="O816" s="11">
        <v>41.67</v>
      </c>
      <c r="P816" s="11"/>
      <c r="Q816" s="12">
        <f>SUM(E816:P816)</f>
        <v>41.67</v>
      </c>
      <c r="R816" s="11">
        <v>250</v>
      </c>
      <c r="AD816" s="12">
        <f>SUM(R816:AC816)</f>
        <v>250</v>
      </c>
      <c r="AE816" s="11">
        <v>250</v>
      </c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3">
        <f>SUM(AE816:AP816)</f>
        <v>250</v>
      </c>
      <c r="AR816" s="3">
        <v>250</v>
      </c>
      <c r="AS816" s="3">
        <v>0</v>
      </c>
      <c r="AT816" s="3">
        <v>0</v>
      </c>
      <c r="AU816" s="3">
        <v>0</v>
      </c>
      <c r="AV816" s="3">
        <v>0</v>
      </c>
      <c r="AW816" s="3">
        <v>0</v>
      </c>
      <c r="AX816" s="3">
        <v>0</v>
      </c>
      <c r="AY816" s="3">
        <v>0</v>
      </c>
      <c r="AZ816" s="3">
        <v>0</v>
      </c>
      <c r="BA816" s="3">
        <v>0</v>
      </c>
      <c r="BB816" s="3">
        <v>0</v>
      </c>
      <c r="BC816" s="3">
        <v>0</v>
      </c>
      <c r="BD816" s="3">
        <f>SUM(AR816:BC816)</f>
        <v>250</v>
      </c>
    </row>
    <row r="817" spans="1:56" ht="13.5" thickBot="1" x14ac:dyDescent="0.35">
      <c r="A817" t="s">
        <v>388</v>
      </c>
      <c r="D817" s="8" t="s">
        <v>10</v>
      </c>
      <c r="E817" s="12">
        <v>0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f>SUM(E817:P817)</f>
        <v>0</v>
      </c>
      <c r="R817" s="12">
        <v>18111.53</v>
      </c>
      <c r="S817" s="12">
        <v>18111.53</v>
      </c>
      <c r="T817" s="12">
        <v>18111.53</v>
      </c>
      <c r="U817" s="12">
        <v>18111.53</v>
      </c>
      <c r="V817" s="12">
        <v>18111.53</v>
      </c>
      <c r="W817" s="12">
        <v>18111.52</v>
      </c>
      <c r="X817" s="12">
        <v>35825</v>
      </c>
      <c r="Y817" s="12">
        <v>35825</v>
      </c>
      <c r="Z817" s="12">
        <v>35825</v>
      </c>
      <c r="AA817" s="12">
        <v>35825</v>
      </c>
      <c r="AB817" s="12">
        <v>35825</v>
      </c>
      <c r="AC817" s="12">
        <v>35825</v>
      </c>
      <c r="AD817" s="12">
        <f>SUM(R817:AC817)</f>
        <v>323619.17</v>
      </c>
      <c r="AE817" s="12">
        <v>10341.67</v>
      </c>
      <c r="AF817" s="12">
        <v>10341.67</v>
      </c>
      <c r="AG817" s="12">
        <v>10341.67</v>
      </c>
      <c r="AH817" s="12">
        <v>10341.67</v>
      </c>
      <c r="AI817" s="12">
        <v>10341.67</v>
      </c>
      <c r="AJ817" s="12">
        <v>10341.65</v>
      </c>
      <c r="AK817" s="12">
        <v>35825</v>
      </c>
      <c r="AL817" s="12">
        <v>35825</v>
      </c>
      <c r="AM817" s="12">
        <v>35825</v>
      </c>
      <c r="AN817" s="12">
        <v>35825</v>
      </c>
      <c r="AO817" s="12">
        <v>35825</v>
      </c>
      <c r="AP817" s="12">
        <v>18036.23</v>
      </c>
      <c r="AQ817" s="3">
        <f>SUM(AE817:AP817)</f>
        <v>259211.23</v>
      </c>
      <c r="AR817" s="3">
        <v>16765.63</v>
      </c>
      <c r="AS817" s="3">
        <v>16765.63</v>
      </c>
      <c r="AT817" s="3">
        <v>16765.63</v>
      </c>
      <c r="AU817" s="3">
        <v>16765.63</v>
      </c>
      <c r="AV817" s="3">
        <v>16765.63</v>
      </c>
      <c r="AW817" s="3">
        <v>16765.599999999999</v>
      </c>
      <c r="AX817" s="3">
        <v>16765.63</v>
      </c>
      <c r="AY817" s="3">
        <v>16765.63</v>
      </c>
      <c r="AZ817" s="3">
        <v>16765.63</v>
      </c>
      <c r="BA817" s="3">
        <v>16765.63</v>
      </c>
      <c r="BB817" s="3">
        <v>16765.63</v>
      </c>
      <c r="BC817" s="3">
        <v>16765.599999999999</v>
      </c>
      <c r="BD817" s="3">
        <f>SUM(AR817:BC817)</f>
        <v>201187.50000000003</v>
      </c>
    </row>
    <row r="818" spans="1:56" ht="13.5" thickBot="1" x14ac:dyDescent="0.35">
      <c r="D818" s="13" t="s">
        <v>389</v>
      </c>
      <c r="E818" s="14">
        <f t="shared" ref="E818:AC818" si="684">SUM(E815:E817)</f>
        <v>0</v>
      </c>
      <c r="F818" s="14">
        <f t="shared" si="684"/>
        <v>0</v>
      </c>
      <c r="G818" s="14">
        <f t="shared" si="684"/>
        <v>0</v>
      </c>
      <c r="H818" s="14">
        <f t="shared" si="684"/>
        <v>0</v>
      </c>
      <c r="I818" s="14">
        <f t="shared" si="684"/>
        <v>0</v>
      </c>
      <c r="J818" s="14">
        <f t="shared" si="684"/>
        <v>0</v>
      </c>
      <c r="K818" s="14">
        <f t="shared" si="684"/>
        <v>0</v>
      </c>
      <c r="L818" s="14">
        <f t="shared" si="684"/>
        <v>0</v>
      </c>
      <c r="M818" s="14">
        <f t="shared" si="684"/>
        <v>0</v>
      </c>
      <c r="N818" s="14">
        <f t="shared" si="684"/>
        <v>0</v>
      </c>
      <c r="O818" s="14">
        <f t="shared" si="684"/>
        <v>41.67</v>
      </c>
      <c r="P818" s="14">
        <f t="shared" si="684"/>
        <v>0</v>
      </c>
      <c r="Q818" s="14">
        <f t="shared" si="684"/>
        <v>41.67</v>
      </c>
      <c r="R818" s="14">
        <f t="shared" si="684"/>
        <v>18361.53</v>
      </c>
      <c r="S818" s="14">
        <f t="shared" si="684"/>
        <v>18111.53</v>
      </c>
      <c r="T818" s="14">
        <f t="shared" si="684"/>
        <v>18111.53</v>
      </c>
      <c r="U818" s="14">
        <f t="shared" si="684"/>
        <v>18111.53</v>
      </c>
      <c r="V818" s="14">
        <f t="shared" si="684"/>
        <v>18111.53</v>
      </c>
      <c r="W818" s="14">
        <f t="shared" si="684"/>
        <v>18111.52</v>
      </c>
      <c r="X818" s="14">
        <f t="shared" si="684"/>
        <v>35825</v>
      </c>
      <c r="Y818" s="14">
        <f t="shared" si="684"/>
        <v>35825</v>
      </c>
      <c r="Z818" s="14">
        <f t="shared" si="684"/>
        <v>35825</v>
      </c>
      <c r="AA818" s="14">
        <f t="shared" si="684"/>
        <v>35825</v>
      </c>
      <c r="AB818" s="14">
        <f t="shared" si="684"/>
        <v>35825</v>
      </c>
      <c r="AC818" s="14">
        <f t="shared" si="684"/>
        <v>35825</v>
      </c>
      <c r="AD818" s="14">
        <f>SUM(AD815:AD817)</f>
        <v>323869.17</v>
      </c>
      <c r="AE818" s="14">
        <f>SUM(AE815:AE817)</f>
        <v>10591.67</v>
      </c>
      <c r="AF818" s="14">
        <f>SUM(AF815:AF817)</f>
        <v>10341.67</v>
      </c>
      <c r="AG818" s="14">
        <f t="shared" ref="AG818:AP818" si="685">SUM(AG815:AG817)</f>
        <v>10341.67</v>
      </c>
      <c r="AH818" s="14">
        <f t="shared" si="685"/>
        <v>10341.67</v>
      </c>
      <c r="AI818" s="14">
        <f t="shared" si="685"/>
        <v>10341.67</v>
      </c>
      <c r="AJ818" s="14">
        <f t="shared" si="685"/>
        <v>10341.65</v>
      </c>
      <c r="AK818" s="14">
        <f t="shared" si="685"/>
        <v>35825</v>
      </c>
      <c r="AL818" s="14">
        <f t="shared" si="685"/>
        <v>35825</v>
      </c>
      <c r="AM818" s="14">
        <f t="shared" si="685"/>
        <v>35825</v>
      </c>
      <c r="AN818" s="14">
        <f t="shared" si="685"/>
        <v>35825</v>
      </c>
      <c r="AO818" s="14">
        <f t="shared" si="685"/>
        <v>35825</v>
      </c>
      <c r="AP818" s="14">
        <f t="shared" si="685"/>
        <v>18036.23</v>
      </c>
      <c r="AQ818" s="22">
        <f>SUM(AQ815:AQ817)</f>
        <v>259461.23</v>
      </c>
      <c r="AR818" s="22">
        <f t="shared" ref="AR818:BD818" si="686">SUM(AR815:AR817)</f>
        <v>17015.63</v>
      </c>
      <c r="AS818" s="22">
        <f t="shared" si="686"/>
        <v>16765.63</v>
      </c>
      <c r="AT818" s="22">
        <f t="shared" si="686"/>
        <v>16765.63</v>
      </c>
      <c r="AU818" s="22">
        <f t="shared" si="686"/>
        <v>16765.63</v>
      </c>
      <c r="AV818" s="22">
        <f t="shared" si="686"/>
        <v>16765.63</v>
      </c>
      <c r="AW818" s="22">
        <f t="shared" si="686"/>
        <v>16765.599999999999</v>
      </c>
      <c r="AX818" s="22">
        <f t="shared" si="686"/>
        <v>16765.63</v>
      </c>
      <c r="AY818" s="22">
        <f t="shared" si="686"/>
        <v>16765.63</v>
      </c>
      <c r="AZ818" s="22">
        <f t="shared" si="686"/>
        <v>16765.63</v>
      </c>
      <c r="BA818" s="22">
        <f t="shared" si="686"/>
        <v>16765.63</v>
      </c>
      <c r="BB818" s="22">
        <f t="shared" si="686"/>
        <v>16765.63</v>
      </c>
      <c r="BC818" s="22">
        <f t="shared" si="686"/>
        <v>16765.599999999999</v>
      </c>
      <c r="BD818" s="22">
        <f t="shared" si="686"/>
        <v>201437.50000000003</v>
      </c>
    </row>
    <row r="819" spans="1:56" x14ac:dyDescent="0.3">
      <c r="D819" s="15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AV819" s="28"/>
    </row>
    <row r="820" spans="1:56" ht="15.5" x14ac:dyDescent="0.35">
      <c r="B820" s="20">
        <f>+B814+1</f>
        <v>101</v>
      </c>
      <c r="C820" s="1" t="s">
        <v>14</v>
      </c>
      <c r="D820" s="25" t="s">
        <v>390</v>
      </c>
      <c r="AV820" s="28"/>
    </row>
    <row r="821" spans="1:56" x14ac:dyDescent="0.3">
      <c r="D821" s="8" t="s">
        <v>8</v>
      </c>
      <c r="E821" s="12">
        <v>0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0</v>
      </c>
      <c r="Q821" s="12">
        <f>SUM(E821:P821)</f>
        <v>0</v>
      </c>
      <c r="R821" s="12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0</v>
      </c>
      <c r="AA821" s="12">
        <v>0</v>
      </c>
      <c r="AB821" s="12">
        <v>0</v>
      </c>
      <c r="AC821" s="12">
        <v>0</v>
      </c>
      <c r="AD821" s="12">
        <f>SUM(R821:AC821)</f>
        <v>0</v>
      </c>
      <c r="AE821" s="12">
        <v>0</v>
      </c>
      <c r="AF821" s="12">
        <v>0</v>
      </c>
      <c r="AG821" s="12">
        <v>0</v>
      </c>
      <c r="AH821" s="12">
        <v>0</v>
      </c>
      <c r="AI821" s="12">
        <v>0</v>
      </c>
      <c r="AJ821" s="12">
        <v>0</v>
      </c>
      <c r="AK821" s="12">
        <v>0</v>
      </c>
      <c r="AL821" s="12">
        <v>0</v>
      </c>
      <c r="AM821" s="12">
        <v>0</v>
      </c>
      <c r="AN821" s="12">
        <v>0</v>
      </c>
      <c r="AO821" s="12">
        <v>0</v>
      </c>
      <c r="AP821" s="12">
        <v>0</v>
      </c>
      <c r="AQ821" s="3">
        <f>SUM(AE821:AP821)</f>
        <v>0</v>
      </c>
      <c r="AR821" s="3">
        <v>0</v>
      </c>
      <c r="AS821" s="3">
        <v>0</v>
      </c>
      <c r="AT821" s="3">
        <v>0</v>
      </c>
      <c r="AU821" s="3">
        <v>0</v>
      </c>
      <c r="AV821" s="3">
        <v>0</v>
      </c>
      <c r="AW821" s="3">
        <v>0</v>
      </c>
      <c r="AX821" s="3">
        <v>0</v>
      </c>
      <c r="AY821" s="3">
        <v>0</v>
      </c>
      <c r="AZ821" s="3">
        <v>0</v>
      </c>
      <c r="BA821" s="3">
        <v>0</v>
      </c>
      <c r="BB821" s="3">
        <v>0</v>
      </c>
      <c r="BC821" s="3">
        <v>0</v>
      </c>
      <c r="BD821" s="3">
        <f>SUM(AR821:BC821)</f>
        <v>0</v>
      </c>
    </row>
    <row r="822" spans="1:56" x14ac:dyDescent="0.3">
      <c r="D822" s="8" t="s">
        <v>9</v>
      </c>
      <c r="E822" s="11"/>
      <c r="F822" s="11"/>
      <c r="I822" s="11"/>
      <c r="K822" s="11"/>
      <c r="L822" s="11"/>
      <c r="M822" s="11"/>
      <c r="N822" s="11"/>
      <c r="O822" s="11">
        <v>41.67</v>
      </c>
      <c r="P822" s="11"/>
      <c r="Q822" s="12">
        <f>SUM(E822:P822)</f>
        <v>41.67</v>
      </c>
      <c r="R822" s="11">
        <v>250</v>
      </c>
      <c r="AD822" s="12">
        <f>SUM(R822:AC822)</f>
        <v>250</v>
      </c>
      <c r="AE822" s="11">
        <v>250</v>
      </c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3">
        <f>SUM(AE822:AP822)</f>
        <v>250</v>
      </c>
      <c r="AR822" s="3">
        <v>250</v>
      </c>
      <c r="AS822" s="3">
        <v>0</v>
      </c>
      <c r="AT822" s="3">
        <v>0</v>
      </c>
      <c r="AU822" s="3">
        <v>0</v>
      </c>
      <c r="AV822" s="3">
        <v>0</v>
      </c>
      <c r="AW822" s="3">
        <v>0</v>
      </c>
      <c r="AX822" s="3">
        <v>0</v>
      </c>
      <c r="AY822" s="3">
        <v>0</v>
      </c>
      <c r="AZ822" s="3">
        <v>0</v>
      </c>
      <c r="BA822" s="3">
        <v>0</v>
      </c>
      <c r="BB822" s="3">
        <v>0</v>
      </c>
      <c r="BC822" s="3">
        <v>0</v>
      </c>
      <c r="BD822" s="3">
        <f>SUM(AR822:BC822)</f>
        <v>250</v>
      </c>
    </row>
    <row r="823" spans="1:56" ht="13.5" thickBot="1" x14ac:dyDescent="0.35">
      <c r="A823" t="s">
        <v>391</v>
      </c>
      <c r="D823" s="8" t="s">
        <v>10</v>
      </c>
      <c r="E823" s="12">
        <v>0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f>SUM(E823:P823)</f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1">
        <v>26167.02</v>
      </c>
      <c r="AC823" s="11">
        <v>26167.01</v>
      </c>
      <c r="AD823" s="12">
        <f>SUM(R823:AC823)</f>
        <v>52334.03</v>
      </c>
      <c r="AE823" s="12">
        <f>4583.33+25322.92</f>
        <v>29906.25</v>
      </c>
      <c r="AF823" s="12">
        <f t="shared" ref="AF823:AO823" si="687">4583.33+25322.92</f>
        <v>29906.25</v>
      </c>
      <c r="AG823" s="12">
        <f t="shared" si="687"/>
        <v>29906.25</v>
      </c>
      <c r="AH823" s="12">
        <f t="shared" si="687"/>
        <v>29906.25</v>
      </c>
      <c r="AI823" s="12">
        <f t="shared" si="687"/>
        <v>29906.25</v>
      </c>
      <c r="AJ823" s="12">
        <f>4583.33+25322.9</f>
        <v>29906.230000000003</v>
      </c>
      <c r="AK823" s="12">
        <f t="shared" si="687"/>
        <v>29906.25</v>
      </c>
      <c r="AL823" s="12">
        <f t="shared" si="687"/>
        <v>29906.25</v>
      </c>
      <c r="AM823" s="12">
        <f t="shared" si="687"/>
        <v>29906.25</v>
      </c>
      <c r="AN823" s="12">
        <f t="shared" si="687"/>
        <v>29906.25</v>
      </c>
      <c r="AO823" s="12">
        <f t="shared" si="687"/>
        <v>29906.25</v>
      </c>
      <c r="AP823" s="12">
        <f>4583.37+25322.9</f>
        <v>29906.27</v>
      </c>
      <c r="AQ823" s="3">
        <f>SUM(AE823:AP823)</f>
        <v>358875</v>
      </c>
      <c r="AR823" s="3">
        <f>5000+25047.92</f>
        <v>30047.919999999998</v>
      </c>
      <c r="AS823" s="3">
        <f t="shared" ref="AS823:BB823" si="688">5000+25047.92</f>
        <v>30047.919999999998</v>
      </c>
      <c r="AT823" s="3">
        <f t="shared" si="688"/>
        <v>30047.919999999998</v>
      </c>
      <c r="AU823" s="3">
        <f t="shared" si="688"/>
        <v>30047.919999999998</v>
      </c>
      <c r="AV823" s="3">
        <f t="shared" si="688"/>
        <v>30047.919999999998</v>
      </c>
      <c r="AW823" s="3">
        <f>5000+25047.9</f>
        <v>30047.9</v>
      </c>
      <c r="AX823" s="3">
        <f t="shared" si="688"/>
        <v>30047.919999999998</v>
      </c>
      <c r="AY823" s="3">
        <f t="shared" si="688"/>
        <v>30047.919999999998</v>
      </c>
      <c r="AZ823" s="3">
        <f t="shared" si="688"/>
        <v>30047.919999999998</v>
      </c>
      <c r="BA823" s="3">
        <f t="shared" si="688"/>
        <v>30047.919999999998</v>
      </c>
      <c r="BB823" s="3">
        <f t="shared" si="688"/>
        <v>30047.919999999998</v>
      </c>
      <c r="BC823" s="3">
        <f>5000+25047.9</f>
        <v>30047.9</v>
      </c>
      <c r="BD823" s="3">
        <f>SUM(AR823:BC823)</f>
        <v>360574.99999999994</v>
      </c>
    </row>
    <row r="824" spans="1:56" ht="13.5" thickBot="1" x14ac:dyDescent="0.35">
      <c r="D824" s="13" t="s">
        <v>392</v>
      </c>
      <c r="E824" s="14">
        <f t="shared" ref="E824:AC824" si="689">SUM(E821:E823)</f>
        <v>0</v>
      </c>
      <c r="F824" s="14">
        <f t="shared" si="689"/>
        <v>0</v>
      </c>
      <c r="G824" s="14">
        <f t="shared" si="689"/>
        <v>0</v>
      </c>
      <c r="H824" s="14">
        <f t="shared" si="689"/>
        <v>0</v>
      </c>
      <c r="I824" s="14">
        <f t="shared" si="689"/>
        <v>0</v>
      </c>
      <c r="J824" s="14">
        <f t="shared" si="689"/>
        <v>0</v>
      </c>
      <c r="K824" s="14">
        <f t="shared" si="689"/>
        <v>0</v>
      </c>
      <c r="L824" s="14">
        <f t="shared" si="689"/>
        <v>0</v>
      </c>
      <c r="M824" s="14">
        <f t="shared" si="689"/>
        <v>0</v>
      </c>
      <c r="N824" s="14">
        <f t="shared" si="689"/>
        <v>0</v>
      </c>
      <c r="O824" s="14">
        <f t="shared" si="689"/>
        <v>41.67</v>
      </c>
      <c r="P824" s="14">
        <f t="shared" si="689"/>
        <v>0</v>
      </c>
      <c r="Q824" s="14">
        <f t="shared" si="689"/>
        <v>41.67</v>
      </c>
      <c r="R824" s="14">
        <f t="shared" si="689"/>
        <v>250</v>
      </c>
      <c r="S824" s="14">
        <f t="shared" si="689"/>
        <v>0</v>
      </c>
      <c r="T824" s="14">
        <f t="shared" si="689"/>
        <v>0</v>
      </c>
      <c r="U824" s="14">
        <f t="shared" si="689"/>
        <v>0</v>
      </c>
      <c r="V824" s="14">
        <f t="shared" si="689"/>
        <v>0</v>
      </c>
      <c r="W824" s="14">
        <f t="shared" si="689"/>
        <v>0</v>
      </c>
      <c r="X824" s="14">
        <f t="shared" si="689"/>
        <v>0</v>
      </c>
      <c r="Y824" s="14">
        <f t="shared" si="689"/>
        <v>0</v>
      </c>
      <c r="Z824" s="14">
        <f t="shared" si="689"/>
        <v>0</v>
      </c>
      <c r="AA824" s="14">
        <f t="shared" si="689"/>
        <v>0</v>
      </c>
      <c r="AB824" s="14">
        <f t="shared" si="689"/>
        <v>26167.02</v>
      </c>
      <c r="AC824" s="14">
        <f t="shared" si="689"/>
        <v>26167.01</v>
      </c>
      <c r="AD824" s="14">
        <f>SUM(AD821:AD823)</f>
        <v>52584.03</v>
      </c>
      <c r="AE824" s="14">
        <f>SUM(AE821:AE823)</f>
        <v>30156.25</v>
      </c>
      <c r="AF824" s="14">
        <f>SUM(AF821:AF823)</f>
        <v>29906.25</v>
      </c>
      <c r="AG824" s="14">
        <f t="shared" ref="AG824:AP824" si="690">SUM(AG821:AG823)</f>
        <v>29906.25</v>
      </c>
      <c r="AH824" s="14">
        <f t="shared" si="690"/>
        <v>29906.25</v>
      </c>
      <c r="AI824" s="14">
        <f t="shared" si="690"/>
        <v>29906.25</v>
      </c>
      <c r="AJ824" s="14">
        <f t="shared" si="690"/>
        <v>29906.230000000003</v>
      </c>
      <c r="AK824" s="14">
        <f t="shared" si="690"/>
        <v>29906.25</v>
      </c>
      <c r="AL824" s="14">
        <f t="shared" si="690"/>
        <v>29906.25</v>
      </c>
      <c r="AM824" s="14">
        <f t="shared" si="690"/>
        <v>29906.25</v>
      </c>
      <c r="AN824" s="14">
        <f t="shared" si="690"/>
        <v>29906.25</v>
      </c>
      <c r="AO824" s="14">
        <f t="shared" si="690"/>
        <v>29906.25</v>
      </c>
      <c r="AP824" s="14">
        <f t="shared" si="690"/>
        <v>29906.27</v>
      </c>
      <c r="AQ824" s="22">
        <f>SUM(AQ821:AQ823)</f>
        <v>359125</v>
      </c>
      <c r="AR824" s="22">
        <f t="shared" ref="AR824:BD824" si="691">SUM(AR821:AR823)</f>
        <v>30297.919999999998</v>
      </c>
      <c r="AS824" s="22">
        <f t="shared" si="691"/>
        <v>30047.919999999998</v>
      </c>
      <c r="AT824" s="22">
        <f t="shared" si="691"/>
        <v>30047.919999999998</v>
      </c>
      <c r="AU824" s="22">
        <f t="shared" si="691"/>
        <v>30047.919999999998</v>
      </c>
      <c r="AV824" s="22">
        <f t="shared" si="691"/>
        <v>30047.919999999998</v>
      </c>
      <c r="AW824" s="22">
        <f t="shared" si="691"/>
        <v>30047.9</v>
      </c>
      <c r="AX824" s="22">
        <f t="shared" si="691"/>
        <v>30047.919999999998</v>
      </c>
      <c r="AY824" s="22">
        <f t="shared" si="691"/>
        <v>30047.919999999998</v>
      </c>
      <c r="AZ824" s="22">
        <f t="shared" si="691"/>
        <v>30047.919999999998</v>
      </c>
      <c r="BA824" s="22">
        <f t="shared" si="691"/>
        <v>30047.919999999998</v>
      </c>
      <c r="BB824" s="22">
        <f t="shared" si="691"/>
        <v>30047.919999999998</v>
      </c>
      <c r="BC824" s="22">
        <f t="shared" si="691"/>
        <v>30047.9</v>
      </c>
      <c r="BD824" s="22">
        <f t="shared" si="691"/>
        <v>360824.99999999994</v>
      </c>
    </row>
    <row r="825" spans="1:56" x14ac:dyDescent="0.3">
      <c r="D825" s="15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</row>
    <row r="826" spans="1:56" ht="15.5" x14ac:dyDescent="0.35">
      <c r="B826" s="20">
        <f>+B820+1</f>
        <v>102</v>
      </c>
      <c r="C826" s="1" t="s">
        <v>14</v>
      </c>
      <c r="D826" s="25" t="s">
        <v>393</v>
      </c>
    </row>
    <row r="827" spans="1:56" x14ac:dyDescent="0.3">
      <c r="D827" s="8" t="s">
        <v>8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0</v>
      </c>
      <c r="P827" s="12">
        <v>0</v>
      </c>
      <c r="Q827" s="12">
        <f>SUM(E827:P827)</f>
        <v>0</v>
      </c>
      <c r="R827" s="12">
        <v>0</v>
      </c>
      <c r="S827" s="12">
        <v>0</v>
      </c>
      <c r="T827" s="12">
        <v>0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v>0</v>
      </c>
      <c r="AB827" s="12">
        <v>0</v>
      </c>
      <c r="AC827" s="12">
        <v>0</v>
      </c>
      <c r="AD827" s="12">
        <f>SUM(R827:AC827)</f>
        <v>0</v>
      </c>
      <c r="AE827" s="12">
        <v>0</v>
      </c>
      <c r="AF827" s="12">
        <v>0</v>
      </c>
      <c r="AG827" s="12">
        <v>0</v>
      </c>
      <c r="AH827" s="12">
        <v>0</v>
      </c>
      <c r="AI827" s="12">
        <v>0</v>
      </c>
      <c r="AJ827" s="12">
        <v>0</v>
      </c>
      <c r="AK827" s="12">
        <v>0</v>
      </c>
      <c r="AL827" s="12">
        <v>0</v>
      </c>
      <c r="AM827" s="12">
        <v>0</v>
      </c>
      <c r="AN827" s="12">
        <v>0</v>
      </c>
      <c r="AO827" s="12">
        <v>0</v>
      </c>
      <c r="AP827" s="12">
        <v>0</v>
      </c>
      <c r="AQ827" s="3">
        <f>SUM(AE827:AP827)</f>
        <v>0</v>
      </c>
      <c r="AR827" s="3">
        <v>0</v>
      </c>
      <c r="AS827" s="3">
        <v>0</v>
      </c>
      <c r="AT827" s="3">
        <v>0</v>
      </c>
      <c r="AU827" s="3">
        <v>0</v>
      </c>
      <c r="AV827" s="3">
        <v>0</v>
      </c>
      <c r="AW827" s="3">
        <v>0</v>
      </c>
      <c r="AX827" s="3">
        <v>0</v>
      </c>
      <c r="AY827" s="3">
        <v>0</v>
      </c>
      <c r="AZ827" s="3">
        <v>0</v>
      </c>
      <c r="BA827" s="3">
        <v>0</v>
      </c>
      <c r="BB827" s="3">
        <v>0</v>
      </c>
      <c r="BC827" s="3">
        <v>0</v>
      </c>
      <c r="BD827" s="3">
        <f>SUM(AR827:BC827)</f>
        <v>0</v>
      </c>
    </row>
    <row r="828" spans="1:56" x14ac:dyDescent="0.3">
      <c r="D828" s="8" t="s">
        <v>9</v>
      </c>
      <c r="E828" s="11"/>
      <c r="F828" s="11"/>
      <c r="I828" s="11"/>
      <c r="K828" s="11"/>
      <c r="L828" s="11"/>
      <c r="M828" s="11"/>
      <c r="N828" s="11"/>
      <c r="O828" s="11"/>
      <c r="P828" s="11">
        <v>20.83</v>
      </c>
      <c r="Q828" s="12">
        <f>SUM(E828:P828)</f>
        <v>20.83</v>
      </c>
      <c r="R828" s="11">
        <v>250</v>
      </c>
      <c r="AD828" s="12">
        <f>SUM(R828:AC828)</f>
        <v>250</v>
      </c>
      <c r="AE828" s="11">
        <v>250</v>
      </c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3">
        <f>SUM(AE828:AP828)</f>
        <v>250</v>
      </c>
      <c r="AR828" s="3">
        <v>250</v>
      </c>
      <c r="AS828" s="3">
        <v>0</v>
      </c>
      <c r="AT828" s="3">
        <v>0</v>
      </c>
      <c r="AU828" s="3">
        <v>0</v>
      </c>
      <c r="AV828" s="3">
        <v>0</v>
      </c>
      <c r="AW828" s="3">
        <v>0</v>
      </c>
      <c r="AX828" s="3">
        <v>0</v>
      </c>
      <c r="AY828" s="3">
        <v>0</v>
      </c>
      <c r="AZ828" s="3">
        <v>0</v>
      </c>
      <c r="BA828" s="3">
        <v>0</v>
      </c>
      <c r="BB828" s="3">
        <v>0</v>
      </c>
      <c r="BC828" s="3">
        <v>0</v>
      </c>
      <c r="BD828" s="3">
        <f>SUM(AR828:BC828)</f>
        <v>250</v>
      </c>
    </row>
    <row r="829" spans="1:56" ht="13.5" thickBot="1" x14ac:dyDescent="0.35">
      <c r="A829" t="s">
        <v>394</v>
      </c>
      <c r="D829" s="8" t="s">
        <v>10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f>8333.33+37153.36</f>
        <v>45486.69</v>
      </c>
      <c r="Q829" s="12">
        <f>SUM(E829:P829)</f>
        <v>45486.69</v>
      </c>
      <c r="R829" s="12">
        <f>8333.33+37153.36</f>
        <v>45486.69</v>
      </c>
      <c r="S829" s="12">
        <f>8333.33+37153.35</f>
        <v>45486.68</v>
      </c>
      <c r="T829" s="17">
        <f>8333.33+26966.15-530.42</f>
        <v>34769.060000000005</v>
      </c>
      <c r="U829" s="11">
        <f>8333.33+26966.15</f>
        <v>35299.480000000003</v>
      </c>
      <c r="V829" s="11">
        <f>8333.33+26966.15</f>
        <v>35299.480000000003</v>
      </c>
      <c r="W829" s="11">
        <f>8333.33+26966.15</f>
        <v>35299.480000000003</v>
      </c>
      <c r="X829" s="11">
        <f>8333.33+26966.15</f>
        <v>35299.480000000003</v>
      </c>
      <c r="Y829" s="11">
        <f>8333.36+26966.13</f>
        <v>35299.490000000005</v>
      </c>
      <c r="Z829" s="11">
        <f>8333.33+26638.02</f>
        <v>34971.35</v>
      </c>
      <c r="AA829" s="11">
        <f>8333.33+26638.02</f>
        <v>34971.35</v>
      </c>
      <c r="AB829" s="11">
        <f>8333.33+26638.02</f>
        <v>34971.35</v>
      </c>
      <c r="AC829" s="11">
        <f>8333.33+26638.02</f>
        <v>34971.35</v>
      </c>
      <c r="AD829" s="12">
        <f>SUM(R829:AC829)</f>
        <v>442125.23999999993</v>
      </c>
      <c r="AE829" s="11">
        <f t="shared" ref="AE829:AK829" si="692">8333.33+26638.02</f>
        <v>34971.35</v>
      </c>
      <c r="AF829" s="11">
        <f>8333.33+26638.03</f>
        <v>34971.360000000001</v>
      </c>
      <c r="AG829" s="11">
        <f t="shared" si="692"/>
        <v>34971.35</v>
      </c>
      <c r="AH829" s="11">
        <f t="shared" si="692"/>
        <v>34971.35</v>
      </c>
      <c r="AI829" s="11">
        <f t="shared" si="692"/>
        <v>34971.35</v>
      </c>
      <c r="AJ829" s="11">
        <f t="shared" si="692"/>
        <v>34971.35</v>
      </c>
      <c r="AK829" s="11">
        <f t="shared" si="692"/>
        <v>34971.35</v>
      </c>
      <c r="AL829" s="11">
        <f>8333.37+26638.03</f>
        <v>34971.4</v>
      </c>
      <c r="AM829" s="12">
        <f>8750+26200.52</f>
        <v>34950.520000000004</v>
      </c>
      <c r="AN829" s="12">
        <f>8750+26200.52</f>
        <v>34950.520000000004</v>
      </c>
      <c r="AO829" s="12">
        <f>8750+26200.52</f>
        <v>34950.520000000004</v>
      </c>
      <c r="AP829" s="12">
        <f>8750+26200.52</f>
        <v>34950.520000000004</v>
      </c>
      <c r="AQ829" s="3">
        <f>SUM(AE829:AP829)</f>
        <v>419572.94000000012</v>
      </c>
      <c r="AR829" s="3">
        <f>8750+26200.52</f>
        <v>34950.520000000004</v>
      </c>
      <c r="AS829" s="3">
        <f>8750+26200.53</f>
        <v>34950.53</v>
      </c>
      <c r="AT829" s="3">
        <f>8750+26200.52</f>
        <v>34950.520000000004</v>
      </c>
      <c r="AU829" s="3">
        <f t="shared" ref="AU829:AX829" si="693">8750+26200.52</f>
        <v>34950.520000000004</v>
      </c>
      <c r="AV829" s="3">
        <f t="shared" si="693"/>
        <v>34950.520000000004</v>
      </c>
      <c r="AW829" s="3">
        <f t="shared" si="693"/>
        <v>34950.520000000004</v>
      </c>
      <c r="AX829" s="3">
        <f t="shared" si="693"/>
        <v>34950.520000000004</v>
      </c>
      <c r="AY829" s="3">
        <f>8750+26200.53</f>
        <v>34950.53</v>
      </c>
      <c r="AZ829" s="3">
        <f>9166.67+25741.15</f>
        <v>34907.82</v>
      </c>
      <c r="BA829" s="3">
        <f t="shared" ref="BA829:BC829" si="694">9166.67+25741.15</f>
        <v>34907.82</v>
      </c>
      <c r="BB829" s="3">
        <f t="shared" si="694"/>
        <v>34907.82</v>
      </c>
      <c r="BC829" s="3">
        <f t="shared" si="694"/>
        <v>34907.82</v>
      </c>
      <c r="BD829" s="3">
        <f>SUM(AR829:BC829)</f>
        <v>419235.46000000008</v>
      </c>
    </row>
    <row r="830" spans="1:56" ht="13.5" thickBot="1" x14ac:dyDescent="0.35">
      <c r="D830" s="13" t="s">
        <v>13</v>
      </c>
      <c r="E830" s="14">
        <f t="shared" ref="E830:AC830" si="695">SUM(E827:E829)</f>
        <v>0</v>
      </c>
      <c r="F830" s="14">
        <f t="shared" si="695"/>
        <v>0</v>
      </c>
      <c r="G830" s="14">
        <f t="shared" si="695"/>
        <v>0</v>
      </c>
      <c r="H830" s="14">
        <f t="shared" si="695"/>
        <v>0</v>
      </c>
      <c r="I830" s="14">
        <f t="shared" si="695"/>
        <v>0</v>
      </c>
      <c r="J830" s="14">
        <f t="shared" si="695"/>
        <v>0</v>
      </c>
      <c r="K830" s="14">
        <f t="shared" si="695"/>
        <v>0</v>
      </c>
      <c r="L830" s="14">
        <f t="shared" si="695"/>
        <v>0</v>
      </c>
      <c r="M830" s="14">
        <f t="shared" si="695"/>
        <v>0</v>
      </c>
      <c r="N830" s="14">
        <f t="shared" si="695"/>
        <v>0</v>
      </c>
      <c r="O830" s="14">
        <f t="shared" si="695"/>
        <v>0</v>
      </c>
      <c r="P830" s="14">
        <f t="shared" si="695"/>
        <v>45507.520000000004</v>
      </c>
      <c r="Q830" s="14">
        <f t="shared" si="695"/>
        <v>45507.520000000004</v>
      </c>
      <c r="R830" s="14">
        <f t="shared" si="695"/>
        <v>45736.69</v>
      </c>
      <c r="S830" s="14">
        <f t="shared" si="695"/>
        <v>45486.68</v>
      </c>
      <c r="T830" s="14">
        <f t="shared" si="695"/>
        <v>34769.060000000005</v>
      </c>
      <c r="U830" s="14">
        <f t="shared" si="695"/>
        <v>35299.480000000003</v>
      </c>
      <c r="V830" s="14">
        <f t="shared" si="695"/>
        <v>35299.480000000003</v>
      </c>
      <c r="W830" s="14">
        <f t="shared" si="695"/>
        <v>35299.480000000003</v>
      </c>
      <c r="X830" s="14">
        <f t="shared" si="695"/>
        <v>35299.480000000003</v>
      </c>
      <c r="Y830" s="14">
        <f t="shared" si="695"/>
        <v>35299.490000000005</v>
      </c>
      <c r="Z830" s="14">
        <f t="shared" si="695"/>
        <v>34971.35</v>
      </c>
      <c r="AA830" s="14">
        <f t="shared" si="695"/>
        <v>34971.35</v>
      </c>
      <c r="AB830" s="14">
        <f t="shared" si="695"/>
        <v>34971.35</v>
      </c>
      <c r="AC830" s="14">
        <f t="shared" si="695"/>
        <v>34971.35</v>
      </c>
      <c r="AD830" s="14">
        <f>SUM(AD827:AD829)</f>
        <v>442375.23999999993</v>
      </c>
      <c r="AE830" s="14">
        <f>SUM(AE827:AE829)</f>
        <v>35221.35</v>
      </c>
      <c r="AF830" s="14">
        <f>SUM(AF827:AF829)</f>
        <v>34971.360000000001</v>
      </c>
      <c r="AG830" s="14">
        <f t="shared" ref="AG830:AP830" si="696">SUM(AG827:AG829)</f>
        <v>34971.35</v>
      </c>
      <c r="AH830" s="14">
        <f t="shared" si="696"/>
        <v>34971.35</v>
      </c>
      <c r="AI830" s="14">
        <f t="shared" si="696"/>
        <v>34971.35</v>
      </c>
      <c r="AJ830" s="14">
        <f t="shared" si="696"/>
        <v>34971.35</v>
      </c>
      <c r="AK830" s="14">
        <f t="shared" si="696"/>
        <v>34971.35</v>
      </c>
      <c r="AL830" s="14">
        <f t="shared" si="696"/>
        <v>34971.4</v>
      </c>
      <c r="AM830" s="14">
        <f t="shared" si="696"/>
        <v>34950.520000000004</v>
      </c>
      <c r="AN830" s="14">
        <f t="shared" si="696"/>
        <v>34950.520000000004</v>
      </c>
      <c r="AO830" s="14">
        <f t="shared" si="696"/>
        <v>34950.520000000004</v>
      </c>
      <c r="AP830" s="14">
        <f t="shared" si="696"/>
        <v>34950.520000000004</v>
      </c>
      <c r="AQ830" s="22">
        <f>SUM(AQ827:AQ829)</f>
        <v>419822.94000000012</v>
      </c>
      <c r="AR830" s="22">
        <f t="shared" ref="AR830:BD830" si="697">SUM(AR827:AR829)</f>
        <v>35200.520000000004</v>
      </c>
      <c r="AS830" s="22">
        <f t="shared" si="697"/>
        <v>34950.53</v>
      </c>
      <c r="AT830" s="22">
        <f t="shared" si="697"/>
        <v>34950.520000000004</v>
      </c>
      <c r="AU830" s="22">
        <f t="shared" si="697"/>
        <v>34950.520000000004</v>
      </c>
      <c r="AV830" s="22">
        <f t="shared" si="697"/>
        <v>34950.520000000004</v>
      </c>
      <c r="AW830" s="22">
        <f t="shared" si="697"/>
        <v>34950.520000000004</v>
      </c>
      <c r="AX830" s="22">
        <f t="shared" si="697"/>
        <v>34950.520000000004</v>
      </c>
      <c r="AY830" s="22">
        <f t="shared" si="697"/>
        <v>34950.53</v>
      </c>
      <c r="AZ830" s="22">
        <f t="shared" si="697"/>
        <v>34907.82</v>
      </c>
      <c r="BA830" s="22">
        <f t="shared" si="697"/>
        <v>34907.82</v>
      </c>
      <c r="BB830" s="22">
        <f t="shared" si="697"/>
        <v>34907.82</v>
      </c>
      <c r="BC830" s="22">
        <f t="shared" si="697"/>
        <v>34907.82</v>
      </c>
      <c r="BD830" s="22">
        <f t="shared" si="697"/>
        <v>419485.46000000008</v>
      </c>
    </row>
    <row r="831" spans="1:56" x14ac:dyDescent="0.3">
      <c r="D831" s="15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</row>
    <row r="832" spans="1:56" ht="15.5" x14ac:dyDescent="0.35">
      <c r="A832" s="33" t="s">
        <v>14</v>
      </c>
      <c r="B832" s="20">
        <f>+B826+1</f>
        <v>103</v>
      </c>
      <c r="C832" s="1" t="s">
        <v>208</v>
      </c>
      <c r="D832" s="25" t="s">
        <v>395</v>
      </c>
    </row>
    <row r="833" spans="1:56" x14ac:dyDescent="0.3">
      <c r="D833" s="8" t="s">
        <v>8</v>
      </c>
      <c r="E833" s="12">
        <v>0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f>SUM(E833:P833)</f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36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12">
        <f>SUM(R833:AC833)</f>
        <v>0</v>
      </c>
      <c r="AE833" s="12">
        <v>0</v>
      </c>
      <c r="AF833" s="12">
        <v>0</v>
      </c>
      <c r="AG833" s="12">
        <v>0</v>
      </c>
      <c r="AH833" s="12">
        <v>0</v>
      </c>
      <c r="AI833" s="12">
        <v>0</v>
      </c>
      <c r="AJ833" s="12">
        <v>0</v>
      </c>
      <c r="AK833" s="12">
        <v>0</v>
      </c>
      <c r="AL833" s="12">
        <v>0</v>
      </c>
      <c r="AM833" s="12">
        <v>0</v>
      </c>
      <c r="AN833" s="12">
        <v>0</v>
      </c>
      <c r="AO833" s="12">
        <v>0</v>
      </c>
      <c r="AP833" s="12">
        <v>0</v>
      </c>
      <c r="AQ833" s="3">
        <f>SUM(AE833:AP833)</f>
        <v>0</v>
      </c>
      <c r="AR833" s="3">
        <v>0</v>
      </c>
      <c r="AS833" s="3">
        <v>0</v>
      </c>
      <c r="AT833" s="3">
        <v>0</v>
      </c>
      <c r="AU833" s="3">
        <v>0</v>
      </c>
      <c r="AV833" s="3">
        <v>0</v>
      </c>
      <c r="AW833" s="3">
        <v>0</v>
      </c>
      <c r="AX833" s="3">
        <v>0</v>
      </c>
      <c r="AY833" s="3">
        <v>0</v>
      </c>
      <c r="AZ833" s="3">
        <v>0</v>
      </c>
      <c r="BA833" s="3">
        <v>0</v>
      </c>
      <c r="BB833" s="3">
        <v>0</v>
      </c>
      <c r="BC833" s="3">
        <v>0</v>
      </c>
      <c r="BD833" s="3">
        <f>SUM(AR833:BC833)</f>
        <v>0</v>
      </c>
    </row>
    <row r="834" spans="1:56" x14ac:dyDescent="0.3">
      <c r="D834" s="8" t="s">
        <v>9</v>
      </c>
      <c r="E834" s="11"/>
      <c r="F834" s="11"/>
      <c r="I834" s="11"/>
      <c r="K834" s="11"/>
      <c r="L834" s="11"/>
      <c r="M834" s="11"/>
      <c r="N834" s="11"/>
      <c r="O834" s="11"/>
      <c r="P834" s="11">
        <f>ROUND(20.83*0.42,2)</f>
        <v>8.75</v>
      </c>
      <c r="Q834" s="12">
        <f>SUM(E834:P834)</f>
        <v>8.75</v>
      </c>
      <c r="R834" s="11">
        <f>ROUND(250*0.42,2)</f>
        <v>105</v>
      </c>
      <c r="W834" s="17">
        <v>5.97</v>
      </c>
      <c r="AD834" s="12">
        <f>SUM(R834:AC834)</f>
        <v>110.97</v>
      </c>
      <c r="AE834" s="11">
        <f>ROUND(250*0.4439,2)</f>
        <v>110.98</v>
      </c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3">
        <f>SUM(AE834:AP834)</f>
        <v>110.98</v>
      </c>
      <c r="AR834" s="26">
        <f>ROUND(250*0.4439,2)</f>
        <v>110.98</v>
      </c>
      <c r="AS834" s="3">
        <v>0</v>
      </c>
      <c r="AT834" s="3">
        <v>0</v>
      </c>
      <c r="AU834" s="3">
        <v>0</v>
      </c>
      <c r="AV834" s="3">
        <v>0</v>
      </c>
      <c r="AW834" s="3">
        <v>0</v>
      </c>
      <c r="AX834" s="3">
        <v>0</v>
      </c>
      <c r="AY834" s="3">
        <v>0</v>
      </c>
      <c r="AZ834" s="3">
        <v>0</v>
      </c>
      <c r="BA834" s="3">
        <v>0</v>
      </c>
      <c r="BB834" s="3">
        <v>0</v>
      </c>
      <c r="BC834" s="3">
        <v>0</v>
      </c>
      <c r="BD834" s="3">
        <f>SUM(AR834:BC834)</f>
        <v>110.98</v>
      </c>
    </row>
    <row r="835" spans="1:56" ht="13.5" thickBot="1" x14ac:dyDescent="0.35">
      <c r="A835" t="s">
        <v>396</v>
      </c>
      <c r="D835" s="8" t="s">
        <v>10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f>ROUND((60000+436095.14)*0.42,2)</f>
        <v>208359.96</v>
      </c>
      <c r="Q835" s="12">
        <f>SUM(E835:P835)</f>
        <v>208359.96</v>
      </c>
      <c r="R835" s="12">
        <f>ROUND((55833.33+373495.83)*0.42,2)</f>
        <v>180318.25</v>
      </c>
      <c r="S835" s="12">
        <f>ROUND((55833.33+373495.83)*0.42,2)</f>
        <v>180318.25</v>
      </c>
      <c r="T835" s="12">
        <f>ROUND((55833.33+373495.83)*0.42,2)</f>
        <v>180318.25</v>
      </c>
      <c r="U835" s="12">
        <f>ROUND((55833.33+373495.83)*0.42,2)</f>
        <v>180318.25</v>
      </c>
      <c r="V835" s="12">
        <f>ROUND((55833.33+373495.83)*0.42,2)</f>
        <v>180318.25</v>
      </c>
      <c r="W835" s="36">
        <f>ROUND((55833.33+373495.85)*0.4439,2)+51304.8</f>
        <v>241884.02000000002</v>
      </c>
      <c r="X835" s="12">
        <f>ROUND((55833.33+373495.83)*0.4439,2)</f>
        <v>190579.21</v>
      </c>
      <c r="Y835" s="12">
        <f>ROUND((55833.33+373495.83)*0.4439,2)</f>
        <v>190579.21</v>
      </c>
      <c r="Z835" s="12">
        <f>ROUND((55833.33+373495.83)*0.4439,2)</f>
        <v>190579.21</v>
      </c>
      <c r="AA835" s="12">
        <f>ROUND((55833.33+373495.83)*0.4439,2)</f>
        <v>190579.21</v>
      </c>
      <c r="AB835" s="12">
        <f>ROUND((55833.33+373495.83)*0.4439,2)</f>
        <v>190579.21</v>
      </c>
      <c r="AC835" s="12">
        <f>ROUND((55833.37+373495.85)*0.4439,2)</f>
        <v>190579.24</v>
      </c>
      <c r="AD835" s="12">
        <f>SUM(R835:AC835)</f>
        <v>2286950.5599999996</v>
      </c>
      <c r="AE835" s="12">
        <f>ROUND((59166.67+370145.83)*0.4439,2)</f>
        <v>190571.82</v>
      </c>
      <c r="AF835" s="12">
        <f t="shared" ref="AF835:AO835" si="698">ROUND((59166.67+370145.83)*0.4439,2)</f>
        <v>190571.82</v>
      </c>
      <c r="AG835" s="12">
        <f t="shared" si="698"/>
        <v>190571.82</v>
      </c>
      <c r="AH835" s="12">
        <f t="shared" si="698"/>
        <v>190571.82</v>
      </c>
      <c r="AI835" s="12">
        <f t="shared" si="698"/>
        <v>190571.82</v>
      </c>
      <c r="AJ835" s="12">
        <f>ROUND((59166.67+370145.85)*0.4439,2)</f>
        <v>190571.83</v>
      </c>
      <c r="AK835" s="12">
        <f t="shared" si="698"/>
        <v>190571.82</v>
      </c>
      <c r="AL835" s="12">
        <f t="shared" si="698"/>
        <v>190571.82</v>
      </c>
      <c r="AM835" s="12">
        <f t="shared" si="698"/>
        <v>190571.82</v>
      </c>
      <c r="AN835" s="12">
        <f t="shared" si="698"/>
        <v>190571.82</v>
      </c>
      <c r="AO835" s="12">
        <f t="shared" si="698"/>
        <v>190571.82</v>
      </c>
      <c r="AP835" s="12">
        <f>ROUND((59166.63+370145.85)*0.4439,2)</f>
        <v>190571.81</v>
      </c>
      <c r="AQ835" s="3">
        <f>SUM(AE835:AP835)</f>
        <v>2286861.8400000003</v>
      </c>
      <c r="AR835" s="3">
        <f>ROUND((62916.67+366595.83)*0.4439,2)</f>
        <v>190660.6</v>
      </c>
      <c r="AS835" s="3">
        <f>ROUND((62916.67+366595.83)*0.4439,2)</f>
        <v>190660.6</v>
      </c>
      <c r="AT835" s="3">
        <f>ROUND((62916.67+366595.83)*0.4439,2)</f>
        <v>190660.6</v>
      </c>
      <c r="AU835" s="3">
        <f>ROUND((62916.67+366595.83)*0.4439,2)</f>
        <v>190660.6</v>
      </c>
      <c r="AV835" s="3">
        <f>ROUND((62916.67+366595.83)*0.4439,2)</f>
        <v>190660.6</v>
      </c>
      <c r="AW835" s="3">
        <f>ROUND((62916.67+366595.85)*0.4439,2)</f>
        <v>190660.61</v>
      </c>
      <c r="AX835" s="3">
        <f>ROUND((62916.67+366595.83)*0.4439,2)</f>
        <v>190660.6</v>
      </c>
      <c r="AY835" s="3">
        <f t="shared" ref="AY835:AZ835" si="699">ROUND((62916.67+366595.83)*0.4439,2)</f>
        <v>190660.6</v>
      </c>
      <c r="AZ835" s="3">
        <f t="shared" si="699"/>
        <v>190660.6</v>
      </c>
      <c r="BA835" s="60">
        <f>ROUND((62916.67+348679.17)*0.4439,2)-23859.63</f>
        <v>158847.76</v>
      </c>
      <c r="BB835" s="3">
        <f>ROUND((62916.67+348679.17)*0.4439,2)</f>
        <v>182707.39</v>
      </c>
      <c r="BC835" s="3">
        <f>ROUND((62916.63+348679.15)*0.4439,2)</f>
        <v>182707.37</v>
      </c>
      <c r="BD835" s="3">
        <f>SUM(AR835:BC835)</f>
        <v>2240207.9300000002</v>
      </c>
    </row>
    <row r="836" spans="1:56" ht="13.5" thickBot="1" x14ac:dyDescent="0.35">
      <c r="D836" s="13" t="s">
        <v>397</v>
      </c>
      <c r="E836" s="14">
        <f t="shared" ref="E836:AC836" si="700">SUM(E833:E835)</f>
        <v>0</v>
      </c>
      <c r="F836" s="14">
        <f t="shared" si="700"/>
        <v>0</v>
      </c>
      <c r="G836" s="14">
        <f t="shared" si="700"/>
        <v>0</v>
      </c>
      <c r="H836" s="14">
        <f t="shared" si="700"/>
        <v>0</v>
      </c>
      <c r="I836" s="14">
        <f t="shared" si="700"/>
        <v>0</v>
      </c>
      <c r="J836" s="14">
        <f t="shared" si="700"/>
        <v>0</v>
      </c>
      <c r="K836" s="14">
        <f t="shared" si="700"/>
        <v>0</v>
      </c>
      <c r="L836" s="14">
        <f t="shared" si="700"/>
        <v>0</v>
      </c>
      <c r="M836" s="14">
        <f t="shared" si="700"/>
        <v>0</v>
      </c>
      <c r="N836" s="14">
        <f t="shared" si="700"/>
        <v>0</v>
      </c>
      <c r="O836" s="14">
        <f t="shared" si="700"/>
        <v>0</v>
      </c>
      <c r="P836" s="14">
        <f t="shared" si="700"/>
        <v>208368.71</v>
      </c>
      <c r="Q836" s="14">
        <f t="shared" si="700"/>
        <v>208368.71</v>
      </c>
      <c r="R836" s="14">
        <f t="shared" si="700"/>
        <v>180423.25</v>
      </c>
      <c r="S836" s="14">
        <f t="shared" si="700"/>
        <v>180318.25</v>
      </c>
      <c r="T836" s="14">
        <f t="shared" si="700"/>
        <v>180318.25</v>
      </c>
      <c r="U836" s="14">
        <f t="shared" si="700"/>
        <v>180318.25</v>
      </c>
      <c r="V836" s="14">
        <f t="shared" si="700"/>
        <v>180318.25</v>
      </c>
      <c r="W836" s="19">
        <f t="shared" si="700"/>
        <v>241889.99000000002</v>
      </c>
      <c r="X836" s="14">
        <f t="shared" si="700"/>
        <v>190579.21</v>
      </c>
      <c r="Y836" s="14">
        <f t="shared" si="700"/>
        <v>190579.21</v>
      </c>
      <c r="Z836" s="14">
        <f t="shared" si="700"/>
        <v>190579.21</v>
      </c>
      <c r="AA836" s="14">
        <f t="shared" si="700"/>
        <v>190579.21</v>
      </c>
      <c r="AB836" s="14">
        <f t="shared" si="700"/>
        <v>190579.21</v>
      </c>
      <c r="AC836" s="14">
        <f t="shared" si="700"/>
        <v>190579.24</v>
      </c>
      <c r="AD836" s="14">
        <f>SUM(AD833:AD835)</f>
        <v>2287061.5299999998</v>
      </c>
      <c r="AE836" s="14">
        <f>SUM(AE833:AE835)</f>
        <v>190682.80000000002</v>
      </c>
      <c r="AF836" s="14">
        <f>SUM(AF833:AF835)</f>
        <v>190571.82</v>
      </c>
      <c r="AG836" s="14">
        <f t="shared" ref="AG836:AP836" si="701">SUM(AG833:AG835)</f>
        <v>190571.82</v>
      </c>
      <c r="AH836" s="14">
        <f t="shared" si="701"/>
        <v>190571.82</v>
      </c>
      <c r="AI836" s="14">
        <f t="shared" si="701"/>
        <v>190571.82</v>
      </c>
      <c r="AJ836" s="14">
        <f t="shared" si="701"/>
        <v>190571.83</v>
      </c>
      <c r="AK836" s="14">
        <f t="shared" si="701"/>
        <v>190571.82</v>
      </c>
      <c r="AL836" s="14">
        <f t="shared" si="701"/>
        <v>190571.82</v>
      </c>
      <c r="AM836" s="14">
        <f t="shared" si="701"/>
        <v>190571.82</v>
      </c>
      <c r="AN836" s="14">
        <f t="shared" si="701"/>
        <v>190571.82</v>
      </c>
      <c r="AO836" s="14">
        <f t="shared" si="701"/>
        <v>190571.82</v>
      </c>
      <c r="AP836" s="14">
        <f t="shared" si="701"/>
        <v>190571.81</v>
      </c>
      <c r="AQ836" s="22">
        <f>SUM(AQ833:AQ835)</f>
        <v>2286972.8200000003</v>
      </c>
      <c r="AR836" s="22">
        <f t="shared" ref="AR836:BD836" si="702">SUM(AR833:AR835)</f>
        <v>190771.58000000002</v>
      </c>
      <c r="AS836" s="22">
        <f t="shared" si="702"/>
        <v>190660.6</v>
      </c>
      <c r="AT836" s="22">
        <f t="shared" si="702"/>
        <v>190660.6</v>
      </c>
      <c r="AU836" s="22">
        <f t="shared" si="702"/>
        <v>190660.6</v>
      </c>
      <c r="AV836" s="22">
        <f t="shared" si="702"/>
        <v>190660.6</v>
      </c>
      <c r="AW836" s="22">
        <f t="shared" si="702"/>
        <v>190660.61</v>
      </c>
      <c r="AX836" s="22">
        <f t="shared" si="702"/>
        <v>190660.6</v>
      </c>
      <c r="AY836" s="22">
        <f t="shared" si="702"/>
        <v>190660.6</v>
      </c>
      <c r="AZ836" s="22">
        <f t="shared" si="702"/>
        <v>190660.6</v>
      </c>
      <c r="BA836" s="22">
        <f t="shared" si="702"/>
        <v>158847.76</v>
      </c>
      <c r="BB836" s="22">
        <f t="shared" si="702"/>
        <v>182707.39</v>
      </c>
      <c r="BC836" s="22">
        <f t="shared" si="702"/>
        <v>182707.37</v>
      </c>
      <c r="BD836" s="22">
        <f t="shared" si="702"/>
        <v>2240318.91</v>
      </c>
    </row>
    <row r="837" spans="1:56" x14ac:dyDescent="0.3">
      <c r="D837" s="15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W837" s="41"/>
    </row>
    <row r="838" spans="1:56" ht="15.5" x14ac:dyDescent="0.35">
      <c r="A838" s="33" t="s">
        <v>14</v>
      </c>
      <c r="B838" s="20">
        <f>B832</f>
        <v>103</v>
      </c>
      <c r="C838" s="1" t="s">
        <v>212</v>
      </c>
      <c r="D838" s="25" t="s">
        <v>398</v>
      </c>
      <c r="W838" s="41"/>
    </row>
    <row r="839" spans="1:56" x14ac:dyDescent="0.3">
      <c r="D839" s="8" t="s">
        <v>8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f>SUM(E839:P839)</f>
        <v>0</v>
      </c>
      <c r="R839" s="12">
        <v>0</v>
      </c>
      <c r="S839" s="12">
        <v>0</v>
      </c>
      <c r="T839" s="12">
        <v>0</v>
      </c>
      <c r="U839" s="12">
        <v>0</v>
      </c>
      <c r="V839" s="12">
        <v>0</v>
      </c>
      <c r="W839" s="36">
        <v>0</v>
      </c>
      <c r="X839" s="12">
        <v>0</v>
      </c>
      <c r="Y839" s="12">
        <v>0</v>
      </c>
      <c r="Z839" s="12">
        <v>0</v>
      </c>
      <c r="AA839" s="12">
        <v>0</v>
      </c>
      <c r="AB839" s="12">
        <v>0</v>
      </c>
      <c r="AC839" s="12">
        <v>0</v>
      </c>
      <c r="AD839" s="12">
        <f>SUM(R839:AC839)</f>
        <v>0</v>
      </c>
      <c r="AE839" s="12">
        <v>0</v>
      </c>
      <c r="AF839" s="12">
        <v>0</v>
      </c>
      <c r="AG839" s="12">
        <v>0</v>
      </c>
      <c r="AH839" s="12">
        <v>0</v>
      </c>
      <c r="AI839" s="12">
        <v>0</v>
      </c>
      <c r="AJ839" s="12">
        <v>0</v>
      </c>
      <c r="AK839" s="12">
        <v>0</v>
      </c>
      <c r="AL839" s="12">
        <v>0</v>
      </c>
      <c r="AM839" s="12">
        <v>0</v>
      </c>
      <c r="AN839" s="12">
        <v>0</v>
      </c>
      <c r="AO839" s="12">
        <v>0</v>
      </c>
      <c r="AP839" s="12">
        <v>0</v>
      </c>
      <c r="AQ839" s="3">
        <f>SUM(AE839:AP839)</f>
        <v>0</v>
      </c>
      <c r="AR839" s="3">
        <v>0</v>
      </c>
      <c r="AS839" s="3">
        <v>0</v>
      </c>
      <c r="AT839" s="3">
        <v>0</v>
      </c>
      <c r="AU839" s="3">
        <v>0</v>
      </c>
      <c r="AV839" s="3">
        <v>0</v>
      </c>
      <c r="AW839" s="3">
        <v>0</v>
      </c>
      <c r="AX839" s="3">
        <v>0</v>
      </c>
      <c r="AY839" s="3">
        <v>0</v>
      </c>
      <c r="AZ839" s="3">
        <v>0</v>
      </c>
      <c r="BA839" s="3">
        <v>0</v>
      </c>
      <c r="BB839" s="3">
        <v>0</v>
      </c>
      <c r="BC839" s="3">
        <v>0</v>
      </c>
      <c r="BD839" s="3">
        <f>SUM(AR839:BC839)</f>
        <v>0</v>
      </c>
    </row>
    <row r="840" spans="1:56" x14ac:dyDescent="0.3">
      <c r="D840" s="8" t="s">
        <v>9</v>
      </c>
      <c r="E840" s="11"/>
      <c r="F840" s="11"/>
      <c r="I840" s="11"/>
      <c r="K840" s="11"/>
      <c r="L840" s="11"/>
      <c r="M840" s="11"/>
      <c r="N840" s="11"/>
      <c r="O840" s="11"/>
      <c r="P840" s="11">
        <f>ROUND(20.83*0.58,2)</f>
        <v>12.08</v>
      </c>
      <c r="Q840" s="12">
        <f>SUM(E840:P840)</f>
        <v>12.08</v>
      </c>
      <c r="R840" s="11">
        <f>ROUND(250*0.58,2)</f>
        <v>145</v>
      </c>
      <c r="W840" s="17">
        <v>-5.97</v>
      </c>
      <c r="AD840" s="12">
        <f>SUM(R840:AC840)</f>
        <v>139.03</v>
      </c>
      <c r="AE840" s="11">
        <f>ROUND(250*0.5561,2)-0.01</f>
        <v>139.02000000000001</v>
      </c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3">
        <f>SUM(AE840:AP840)</f>
        <v>139.02000000000001</v>
      </c>
      <c r="AR840" s="26">
        <f>ROUND(250*0.5561,2)-0.01</f>
        <v>139.02000000000001</v>
      </c>
      <c r="AS840" s="3">
        <v>0</v>
      </c>
      <c r="AT840" s="3">
        <v>0</v>
      </c>
      <c r="AU840" s="3">
        <v>0</v>
      </c>
      <c r="AV840" s="3">
        <v>0</v>
      </c>
      <c r="AW840" s="3">
        <v>0</v>
      </c>
      <c r="AX840" s="3">
        <v>0</v>
      </c>
      <c r="AY840" s="3">
        <v>0</v>
      </c>
      <c r="AZ840" s="3">
        <v>0</v>
      </c>
      <c r="BA840" s="3">
        <v>0</v>
      </c>
      <c r="BB840" s="3">
        <v>0</v>
      </c>
      <c r="BC840" s="3">
        <v>0</v>
      </c>
      <c r="BD840" s="3">
        <f>SUM(AR840:BC840)</f>
        <v>139.02000000000001</v>
      </c>
    </row>
    <row r="841" spans="1:56" ht="13.5" thickBot="1" x14ac:dyDescent="0.35">
      <c r="A841">
        <v>2196</v>
      </c>
      <c r="D841" s="8" t="s">
        <v>10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f>ROUND((60000+436095.14)*0.58,2)</f>
        <v>287735.18</v>
      </c>
      <c r="Q841" s="12">
        <f>SUM(E841:P841)</f>
        <v>287735.18</v>
      </c>
      <c r="R841" s="12">
        <f>ROUND((55833.33+373495.83)*0.58,2)</f>
        <v>249010.91</v>
      </c>
      <c r="S841" s="12">
        <f>ROUND((55833.33+373495.83)*0.58,2)</f>
        <v>249010.91</v>
      </c>
      <c r="T841" s="12">
        <f>ROUND((55833.33+373495.83)*0.58,2)</f>
        <v>249010.91</v>
      </c>
      <c r="U841" s="12">
        <f>ROUND((55833.33+373495.83)*0.58,2)</f>
        <v>249010.91</v>
      </c>
      <c r="V841" s="12">
        <f>ROUND((55833.33+373495.83)*0.58,2)</f>
        <v>249010.91</v>
      </c>
      <c r="W841" s="36">
        <f>ROUND((55833.33+373495.85)*0.5561,2)-51304.8</f>
        <v>187445.15999999997</v>
      </c>
      <c r="X841" s="12">
        <f>ROUND((55833.33+373495.83)*0.5561,2)</f>
        <v>238749.95</v>
      </c>
      <c r="Y841" s="12">
        <f>ROUND((55833.33+373495.83)*0.5561,2)</f>
        <v>238749.95</v>
      </c>
      <c r="Z841" s="12">
        <f>ROUND((55833.33+373495.83)*0.5561,2)</f>
        <v>238749.95</v>
      </c>
      <c r="AA841" s="12">
        <f>ROUND((55833.33+373495.83)*0.5561,2)</f>
        <v>238749.95</v>
      </c>
      <c r="AB841" s="12">
        <f>ROUND((55833.33+373495.83)*0.5561,2)</f>
        <v>238749.95</v>
      </c>
      <c r="AC841" s="12">
        <f>ROUND((55833.37+373495.85)*0.5561,2)</f>
        <v>238749.98</v>
      </c>
      <c r="AD841" s="12">
        <f>SUM(R841:AC841)</f>
        <v>2864999.4400000004</v>
      </c>
      <c r="AE841" s="12">
        <f>ROUND((59166.67+370145.83)*0.5561,2)</f>
        <v>238740.68</v>
      </c>
      <c r="AF841" s="12">
        <f t="shared" ref="AF841:AO841" si="703">ROUND((59166.67+370145.83)*0.5561,2)</f>
        <v>238740.68</v>
      </c>
      <c r="AG841" s="12">
        <f t="shared" si="703"/>
        <v>238740.68</v>
      </c>
      <c r="AH841" s="12">
        <f t="shared" si="703"/>
        <v>238740.68</v>
      </c>
      <c r="AI841" s="12">
        <f t="shared" si="703"/>
        <v>238740.68</v>
      </c>
      <c r="AJ841" s="12">
        <f>ROUND((59166.67+370145.85)*0.5561,2)</f>
        <v>238740.69</v>
      </c>
      <c r="AK841" s="12">
        <f t="shared" si="703"/>
        <v>238740.68</v>
      </c>
      <c r="AL841" s="12">
        <f t="shared" si="703"/>
        <v>238740.68</v>
      </c>
      <c r="AM841" s="12">
        <f t="shared" si="703"/>
        <v>238740.68</v>
      </c>
      <c r="AN841" s="12">
        <f t="shared" si="703"/>
        <v>238740.68</v>
      </c>
      <c r="AO841" s="12">
        <f t="shared" si="703"/>
        <v>238740.68</v>
      </c>
      <c r="AP841" s="12">
        <f>ROUND((59166.63+370145.85)*0.5561,2)</f>
        <v>238740.67</v>
      </c>
      <c r="AQ841" s="3">
        <f>SUM(AE841:AP841)</f>
        <v>2864888.16</v>
      </c>
      <c r="AR841" s="3">
        <f>ROUND((62916.67+366595.83)*0.5561,2)</f>
        <v>238851.9</v>
      </c>
      <c r="AS841" s="3">
        <f t="shared" ref="AS841:AZ841" si="704">ROUND((62916.67+366595.83)*0.5561,2)</f>
        <v>238851.9</v>
      </c>
      <c r="AT841" s="3">
        <f t="shared" si="704"/>
        <v>238851.9</v>
      </c>
      <c r="AU841" s="3">
        <f t="shared" si="704"/>
        <v>238851.9</v>
      </c>
      <c r="AV841" s="3">
        <f t="shared" si="704"/>
        <v>238851.9</v>
      </c>
      <c r="AW841" s="3">
        <f>ROUND((62916.67+366595.85)*0.5561,2)</f>
        <v>238851.91</v>
      </c>
      <c r="AX841" s="3">
        <f t="shared" si="704"/>
        <v>238851.9</v>
      </c>
      <c r="AY841" s="3">
        <f t="shared" si="704"/>
        <v>238851.9</v>
      </c>
      <c r="AZ841" s="3">
        <f t="shared" si="704"/>
        <v>238851.9</v>
      </c>
      <c r="BA841" s="60">
        <f>ROUND((62916.67+348679.17)*0.5561,2)-29890.35</f>
        <v>198998.1</v>
      </c>
      <c r="BB841" s="3">
        <f t="shared" ref="BB841" si="705">ROUND((62916.67+348679.17)*0.5561,2)</f>
        <v>228888.45</v>
      </c>
      <c r="BC841" s="3">
        <f>ROUND((62916.63+348679.15)*0.5561,2)</f>
        <v>228888.41</v>
      </c>
      <c r="BD841" s="3">
        <f>SUM(AR841:BC841)</f>
        <v>2806442.0700000003</v>
      </c>
    </row>
    <row r="842" spans="1:56" ht="13.5" thickBot="1" x14ac:dyDescent="0.35">
      <c r="D842" s="13" t="s">
        <v>399</v>
      </c>
      <c r="E842" s="14">
        <f t="shared" ref="E842:AC842" si="706">SUM(E839:E841)</f>
        <v>0</v>
      </c>
      <c r="F842" s="14">
        <f t="shared" si="706"/>
        <v>0</v>
      </c>
      <c r="G842" s="14">
        <f t="shared" si="706"/>
        <v>0</v>
      </c>
      <c r="H842" s="14">
        <f t="shared" si="706"/>
        <v>0</v>
      </c>
      <c r="I842" s="14">
        <f t="shared" si="706"/>
        <v>0</v>
      </c>
      <c r="J842" s="14">
        <f t="shared" si="706"/>
        <v>0</v>
      </c>
      <c r="K842" s="14">
        <f t="shared" si="706"/>
        <v>0</v>
      </c>
      <c r="L842" s="14">
        <f t="shared" si="706"/>
        <v>0</v>
      </c>
      <c r="M842" s="14">
        <f t="shared" si="706"/>
        <v>0</v>
      </c>
      <c r="N842" s="14">
        <f t="shared" si="706"/>
        <v>0</v>
      </c>
      <c r="O842" s="14">
        <f t="shared" si="706"/>
        <v>0</v>
      </c>
      <c r="P842" s="14">
        <f t="shared" si="706"/>
        <v>287747.26</v>
      </c>
      <c r="Q842" s="14">
        <f t="shared" si="706"/>
        <v>287747.26</v>
      </c>
      <c r="R842" s="14">
        <f t="shared" si="706"/>
        <v>249155.91</v>
      </c>
      <c r="S842" s="14">
        <f t="shared" si="706"/>
        <v>249010.91</v>
      </c>
      <c r="T842" s="14">
        <f t="shared" si="706"/>
        <v>249010.91</v>
      </c>
      <c r="U842" s="14">
        <f t="shared" si="706"/>
        <v>249010.91</v>
      </c>
      <c r="V842" s="14">
        <f t="shared" si="706"/>
        <v>249010.91</v>
      </c>
      <c r="W842" s="19">
        <f t="shared" si="706"/>
        <v>187439.18999999997</v>
      </c>
      <c r="X842" s="14">
        <f t="shared" si="706"/>
        <v>238749.95</v>
      </c>
      <c r="Y842" s="14">
        <f t="shared" si="706"/>
        <v>238749.95</v>
      </c>
      <c r="Z842" s="14">
        <f t="shared" si="706"/>
        <v>238749.95</v>
      </c>
      <c r="AA842" s="14">
        <f t="shared" si="706"/>
        <v>238749.95</v>
      </c>
      <c r="AB842" s="14">
        <f t="shared" si="706"/>
        <v>238749.95</v>
      </c>
      <c r="AC842" s="14">
        <f t="shared" si="706"/>
        <v>238749.98</v>
      </c>
      <c r="AD842" s="14">
        <f>SUM(AD839:AD841)</f>
        <v>2865138.47</v>
      </c>
      <c r="AE842" s="14">
        <f>SUM(AE839:AE841)</f>
        <v>238879.69999999998</v>
      </c>
      <c r="AF842" s="14">
        <f>SUM(AF839:AF841)</f>
        <v>238740.68</v>
      </c>
      <c r="AG842" s="14">
        <f t="shared" ref="AG842:AP842" si="707">SUM(AG839:AG841)</f>
        <v>238740.68</v>
      </c>
      <c r="AH842" s="14">
        <f t="shared" si="707"/>
        <v>238740.68</v>
      </c>
      <c r="AI842" s="14">
        <f t="shared" si="707"/>
        <v>238740.68</v>
      </c>
      <c r="AJ842" s="14">
        <f t="shared" si="707"/>
        <v>238740.69</v>
      </c>
      <c r="AK842" s="14">
        <f t="shared" si="707"/>
        <v>238740.68</v>
      </c>
      <c r="AL842" s="14">
        <f t="shared" si="707"/>
        <v>238740.68</v>
      </c>
      <c r="AM842" s="14">
        <f t="shared" si="707"/>
        <v>238740.68</v>
      </c>
      <c r="AN842" s="14">
        <f t="shared" si="707"/>
        <v>238740.68</v>
      </c>
      <c r="AO842" s="14">
        <f t="shared" si="707"/>
        <v>238740.68</v>
      </c>
      <c r="AP842" s="14">
        <f t="shared" si="707"/>
        <v>238740.67</v>
      </c>
      <c r="AQ842" s="22">
        <f>SUM(AQ839:AQ841)</f>
        <v>2865027.18</v>
      </c>
      <c r="AR842" s="22">
        <f t="shared" ref="AR842:BD842" si="708">SUM(AR839:AR841)</f>
        <v>238990.91999999998</v>
      </c>
      <c r="AS842" s="22">
        <f t="shared" si="708"/>
        <v>238851.9</v>
      </c>
      <c r="AT842" s="22">
        <f t="shared" si="708"/>
        <v>238851.9</v>
      </c>
      <c r="AU842" s="22">
        <f t="shared" si="708"/>
        <v>238851.9</v>
      </c>
      <c r="AV842" s="22">
        <f t="shared" si="708"/>
        <v>238851.9</v>
      </c>
      <c r="AW842" s="22">
        <f t="shared" si="708"/>
        <v>238851.91</v>
      </c>
      <c r="AX842" s="22">
        <f t="shared" si="708"/>
        <v>238851.9</v>
      </c>
      <c r="AY842" s="22">
        <f t="shared" si="708"/>
        <v>238851.9</v>
      </c>
      <c r="AZ842" s="22">
        <f t="shared" si="708"/>
        <v>238851.9</v>
      </c>
      <c r="BA842" s="22">
        <f t="shared" si="708"/>
        <v>198998.1</v>
      </c>
      <c r="BB842" s="22">
        <f t="shared" si="708"/>
        <v>228888.45</v>
      </c>
      <c r="BC842" s="22">
        <f t="shared" si="708"/>
        <v>228888.41</v>
      </c>
      <c r="BD842" s="22">
        <f t="shared" si="708"/>
        <v>2806581.0900000003</v>
      </c>
    </row>
    <row r="843" spans="1:56" x14ac:dyDescent="0.3">
      <c r="D843" s="15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</row>
    <row r="844" spans="1:56" ht="15.5" x14ac:dyDescent="0.35">
      <c r="A844" s="33" t="s">
        <v>14</v>
      </c>
      <c r="B844" s="20">
        <f>+B832+1</f>
        <v>104</v>
      </c>
      <c r="C844" s="1" t="s">
        <v>208</v>
      </c>
      <c r="D844" s="25" t="s">
        <v>400</v>
      </c>
    </row>
    <row r="845" spans="1:56" x14ac:dyDescent="0.3">
      <c r="D845" s="8" t="s">
        <v>8</v>
      </c>
      <c r="E845" s="12">
        <v>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f>SUM(E845:P845)</f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36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12">
        <f>SUM(R845:AC845)</f>
        <v>0</v>
      </c>
      <c r="AE845" s="12">
        <v>0</v>
      </c>
      <c r="AF845" s="12">
        <v>0</v>
      </c>
      <c r="AG845" s="12">
        <v>0</v>
      </c>
      <c r="AH845" s="12">
        <v>0</v>
      </c>
      <c r="AI845" s="12">
        <v>0</v>
      </c>
      <c r="AJ845" s="12">
        <v>0</v>
      </c>
      <c r="AK845" s="12">
        <v>0</v>
      </c>
      <c r="AL845" s="12">
        <v>0</v>
      </c>
      <c r="AM845" s="12">
        <v>0</v>
      </c>
      <c r="AN845" s="12">
        <v>0</v>
      </c>
      <c r="AO845" s="12">
        <v>0</v>
      </c>
      <c r="AP845" s="12">
        <v>0</v>
      </c>
      <c r="AQ845" s="3">
        <f>SUM(AE845:AP845)</f>
        <v>0</v>
      </c>
      <c r="AR845" s="3">
        <v>0</v>
      </c>
      <c r="AS845" s="3">
        <v>0</v>
      </c>
      <c r="AT845" s="3">
        <v>0</v>
      </c>
      <c r="AU845" s="3">
        <v>0</v>
      </c>
      <c r="AV845" s="3">
        <v>0</v>
      </c>
      <c r="AW845" s="3">
        <v>0</v>
      </c>
      <c r="AX845" s="3">
        <v>0</v>
      </c>
      <c r="AY845" s="3">
        <v>0</v>
      </c>
      <c r="AZ845" s="3">
        <v>0</v>
      </c>
      <c r="BA845" s="3">
        <v>0</v>
      </c>
      <c r="BB845" s="3">
        <v>0</v>
      </c>
      <c r="BC845" s="3">
        <v>0</v>
      </c>
      <c r="BD845" s="3">
        <f>SUM(AR845:BC845)</f>
        <v>0</v>
      </c>
    </row>
    <row r="846" spans="1:56" x14ac:dyDescent="0.3">
      <c r="D846" s="8" t="s">
        <v>9</v>
      </c>
      <c r="E846" s="11"/>
      <c r="F846" s="11"/>
      <c r="I846" s="11"/>
      <c r="K846" s="11"/>
      <c r="L846" s="11"/>
      <c r="M846" s="11"/>
      <c r="N846" s="11"/>
      <c r="O846" s="11"/>
      <c r="P846" s="11">
        <f>ROUND(20.83*0.31,2)</f>
        <v>6.46</v>
      </c>
      <c r="Q846" s="12">
        <f>SUM(E846:P846)</f>
        <v>6.46</v>
      </c>
      <c r="R846" s="11">
        <f>ROUND(250*0.31,2)</f>
        <v>77.5</v>
      </c>
      <c r="W846" s="17">
        <v>-7.08</v>
      </c>
      <c r="AD846" s="12">
        <f>SUM(R846:AC846)</f>
        <v>70.42</v>
      </c>
      <c r="AE846" s="11">
        <f>ROUND(250*0.2817,2)</f>
        <v>70.430000000000007</v>
      </c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3">
        <f>SUM(AE846:AP846)</f>
        <v>70.430000000000007</v>
      </c>
      <c r="AR846" s="3">
        <f>ROUND((250*0.2817),2)</f>
        <v>70.430000000000007</v>
      </c>
      <c r="AS846" s="3">
        <v>0</v>
      </c>
      <c r="AT846" s="3">
        <v>0</v>
      </c>
      <c r="AU846" s="3">
        <v>0</v>
      </c>
      <c r="AV846" s="3">
        <v>0</v>
      </c>
      <c r="AW846" s="3">
        <v>0</v>
      </c>
      <c r="AX846" s="3">
        <v>0</v>
      </c>
      <c r="AY846" s="3">
        <v>0</v>
      </c>
      <c r="AZ846" s="3">
        <v>0</v>
      </c>
      <c r="BA846" s="3">
        <v>0</v>
      </c>
      <c r="BB846" s="3">
        <v>0</v>
      </c>
      <c r="BC846" s="3">
        <v>0</v>
      </c>
      <c r="BD846" s="3">
        <f>SUM(AR846:BC846)</f>
        <v>70.430000000000007</v>
      </c>
    </row>
    <row r="847" spans="1:56" ht="13.5" thickBot="1" x14ac:dyDescent="0.35">
      <c r="A847" t="s">
        <v>401</v>
      </c>
      <c r="D847" s="8" t="s">
        <v>10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f>ROUND((35000+241752.17)*0.31,2)</f>
        <v>85793.17</v>
      </c>
      <c r="Q847" s="12">
        <f>SUM(E847:P847)</f>
        <v>85793.17</v>
      </c>
      <c r="R847" s="12">
        <f>ROUND((35000+207216.15)*0.31,2)</f>
        <v>75087.009999999995</v>
      </c>
      <c r="S847" s="12">
        <f>ROUND((35000+207216.15)*0.31,2)</f>
        <v>75087.009999999995</v>
      </c>
      <c r="T847" s="12">
        <f>ROUND((35000+207216.15)*0.31,2)</f>
        <v>75087.009999999995</v>
      </c>
      <c r="U847" s="12">
        <f>ROUND((35000+207216.15)*0.31,2)</f>
        <v>75087.009999999995</v>
      </c>
      <c r="V847" s="12">
        <f>ROUND((35000+207216.15)*0.31,2)</f>
        <v>75087.009999999995</v>
      </c>
      <c r="W847" s="36">
        <f>ROUND((35000+207216.13)*0.2817,2)-34273.6</f>
        <v>33958.68</v>
      </c>
      <c r="X847" s="12">
        <f>ROUND((35000+206195.31)*0.2817,2)</f>
        <v>67944.72</v>
      </c>
      <c r="Y847" s="12">
        <f>ROUND((35000+206195.31)*0.2817,2)</f>
        <v>67944.72</v>
      </c>
      <c r="Z847" s="12">
        <f>ROUND((35000+206195.31)*0.2817,2)</f>
        <v>67944.72</v>
      </c>
      <c r="AA847" s="12">
        <f>ROUND((35000+206195.31)*0.2817,2)</f>
        <v>67944.72</v>
      </c>
      <c r="AB847" s="12">
        <f>ROUND((35000+206195.31)*0.2817,2)</f>
        <v>67944.72</v>
      </c>
      <c r="AC847" s="12">
        <f>ROUND((35000+206195.33)*0.2817,2)+0.01</f>
        <v>67944.73</v>
      </c>
      <c r="AD847" s="12">
        <f>SUM(R847:AC847)</f>
        <v>817062.05999999982</v>
      </c>
      <c r="AE847" s="12">
        <f>ROUND((35000+206195.31)*0.2817,2)</f>
        <v>67944.72</v>
      </c>
      <c r="AF847" s="12">
        <f>ROUND((35000+206195.31)*0.2817,2)</f>
        <v>67944.72</v>
      </c>
      <c r="AG847" s="12">
        <f>ROUND((35000+206195.31)*0.2817,2)</f>
        <v>67944.72</v>
      </c>
      <c r="AH847" s="12">
        <f>ROUND((35000+206195.31)*0.2817,2)</f>
        <v>67944.72</v>
      </c>
      <c r="AI847" s="12">
        <f>ROUND((35000+206195.31)*0.2817,2)</f>
        <v>67944.72</v>
      </c>
      <c r="AJ847" s="12">
        <f>ROUND((35000+206195.33)*0.2817,2)+0.01</f>
        <v>67944.73</v>
      </c>
      <c r="AK847" s="12">
        <f>ROUND((37083.33+204445.31)*0.2817,2)</f>
        <v>68038.62</v>
      </c>
      <c r="AL847" s="12">
        <f>ROUND((37083.33+204445.31)*0.2817,2)</f>
        <v>68038.62</v>
      </c>
      <c r="AM847" s="12">
        <f>ROUND((37083.33+204445.31)*0.2817,2)</f>
        <v>68038.62</v>
      </c>
      <c r="AN847" s="12">
        <f>ROUND((37083.33+204445.31)*0.2817,2)</f>
        <v>68038.62</v>
      </c>
      <c r="AO847" s="12">
        <f>ROUND((37083.33+204445.31)*0.2817,2)</f>
        <v>68038.62</v>
      </c>
      <c r="AP847" s="12">
        <f>ROUND((37083.33+204445.33)*0.2817,2)</f>
        <v>68038.62</v>
      </c>
      <c r="AQ847" s="3">
        <f>SUM(AE847:AP847)</f>
        <v>815900.04999999993</v>
      </c>
      <c r="AR847" s="3">
        <f>ROUND((37083.33+204445.31)*0.2817,2)</f>
        <v>68038.62</v>
      </c>
      <c r="AS847" s="3">
        <f>ROUND((37083.33+204445.31)*0.2817,2)</f>
        <v>68038.62</v>
      </c>
      <c r="AT847" s="3">
        <f>ROUND((37083.33+204445.31)*0.2817,2)</f>
        <v>68038.62</v>
      </c>
      <c r="AU847" s="3">
        <f>ROUND((37083.33+204445.31)*0.2817,2)</f>
        <v>68038.62</v>
      </c>
      <c r="AV847" s="3">
        <f>ROUND((37083.33+204445.31)*0.2817,2)</f>
        <v>68038.62</v>
      </c>
      <c r="AW847" s="3">
        <f>ROUND((37083.37+204445.33)*0.2817,2)</f>
        <v>68038.63</v>
      </c>
      <c r="AX847" s="3">
        <f>ROUND((38750+202619.79)*0.2817,2)</f>
        <v>67993.87</v>
      </c>
      <c r="AY847" s="3">
        <f t="shared" ref="AY847:BB847" si="709">ROUND((38750+202619.79)*0.2817,2)</f>
        <v>67993.87</v>
      </c>
      <c r="AZ847" s="3">
        <f t="shared" si="709"/>
        <v>67993.87</v>
      </c>
      <c r="BA847" s="3">
        <f t="shared" si="709"/>
        <v>67993.87</v>
      </c>
      <c r="BB847" s="3">
        <f t="shared" si="709"/>
        <v>67993.87</v>
      </c>
      <c r="BC847" s="3">
        <f>ROUND((38750+202619.8)*0.2817,2)</f>
        <v>67993.87</v>
      </c>
      <c r="BD847" s="3">
        <f>SUM(AR847:BC847)</f>
        <v>816194.95</v>
      </c>
    </row>
    <row r="848" spans="1:56" ht="13.5" thickBot="1" x14ac:dyDescent="0.35">
      <c r="D848" s="13" t="s">
        <v>196</v>
      </c>
      <c r="E848" s="14">
        <f t="shared" ref="E848:AC848" si="710">SUM(E845:E847)</f>
        <v>0</v>
      </c>
      <c r="F848" s="14">
        <f t="shared" si="710"/>
        <v>0</v>
      </c>
      <c r="G848" s="14">
        <f t="shared" si="710"/>
        <v>0</v>
      </c>
      <c r="H848" s="14">
        <f t="shared" si="710"/>
        <v>0</v>
      </c>
      <c r="I848" s="14">
        <f t="shared" si="710"/>
        <v>0</v>
      </c>
      <c r="J848" s="14">
        <f t="shared" si="710"/>
        <v>0</v>
      </c>
      <c r="K848" s="14">
        <f t="shared" si="710"/>
        <v>0</v>
      </c>
      <c r="L848" s="14">
        <f t="shared" si="710"/>
        <v>0</v>
      </c>
      <c r="M848" s="14">
        <f t="shared" si="710"/>
        <v>0</v>
      </c>
      <c r="N848" s="14">
        <f t="shared" si="710"/>
        <v>0</v>
      </c>
      <c r="O848" s="14">
        <f t="shared" si="710"/>
        <v>0</v>
      </c>
      <c r="P848" s="14">
        <f t="shared" si="710"/>
        <v>85799.63</v>
      </c>
      <c r="Q848" s="14">
        <f t="shared" si="710"/>
        <v>85799.63</v>
      </c>
      <c r="R848" s="14">
        <f t="shared" si="710"/>
        <v>75164.509999999995</v>
      </c>
      <c r="S848" s="14">
        <f t="shared" si="710"/>
        <v>75087.009999999995</v>
      </c>
      <c r="T848" s="14">
        <f t="shared" si="710"/>
        <v>75087.009999999995</v>
      </c>
      <c r="U848" s="14">
        <f t="shared" si="710"/>
        <v>75087.009999999995</v>
      </c>
      <c r="V848" s="14">
        <f t="shared" si="710"/>
        <v>75087.009999999995</v>
      </c>
      <c r="W848" s="19">
        <f t="shared" si="710"/>
        <v>33951.599999999999</v>
      </c>
      <c r="X848" s="14">
        <f t="shared" si="710"/>
        <v>67944.72</v>
      </c>
      <c r="Y848" s="14">
        <f t="shared" si="710"/>
        <v>67944.72</v>
      </c>
      <c r="Z848" s="14">
        <f t="shared" si="710"/>
        <v>67944.72</v>
      </c>
      <c r="AA848" s="14">
        <f t="shared" si="710"/>
        <v>67944.72</v>
      </c>
      <c r="AB848" s="14">
        <f t="shared" si="710"/>
        <v>67944.72</v>
      </c>
      <c r="AC848" s="14">
        <f t="shared" si="710"/>
        <v>67944.73</v>
      </c>
      <c r="AD848" s="14">
        <f>SUM(AD845:AD847)</f>
        <v>817132.47999999986</v>
      </c>
      <c r="AE848" s="14">
        <f>SUM(AE845:AE847)</f>
        <v>68015.149999999994</v>
      </c>
      <c r="AF848" s="14">
        <f>SUM(AF845:AF847)</f>
        <v>67944.72</v>
      </c>
      <c r="AG848" s="14">
        <f t="shared" ref="AG848:AP848" si="711">SUM(AG845:AG847)</f>
        <v>67944.72</v>
      </c>
      <c r="AH848" s="14">
        <f t="shared" si="711"/>
        <v>67944.72</v>
      </c>
      <c r="AI848" s="14">
        <f t="shared" si="711"/>
        <v>67944.72</v>
      </c>
      <c r="AJ848" s="14">
        <f t="shared" si="711"/>
        <v>67944.73</v>
      </c>
      <c r="AK848" s="14">
        <f t="shared" si="711"/>
        <v>68038.62</v>
      </c>
      <c r="AL848" s="14">
        <f t="shared" si="711"/>
        <v>68038.62</v>
      </c>
      <c r="AM848" s="14">
        <f t="shared" si="711"/>
        <v>68038.62</v>
      </c>
      <c r="AN848" s="14">
        <f t="shared" si="711"/>
        <v>68038.62</v>
      </c>
      <c r="AO848" s="14">
        <f t="shared" si="711"/>
        <v>68038.62</v>
      </c>
      <c r="AP848" s="14">
        <f t="shared" si="711"/>
        <v>68038.62</v>
      </c>
      <c r="AQ848" s="22">
        <f>SUM(AQ845:AQ847)</f>
        <v>815970.48</v>
      </c>
      <c r="AR848" s="22">
        <f t="shared" ref="AR848:BD848" si="712">SUM(AR845:AR847)</f>
        <v>68109.049999999988</v>
      </c>
      <c r="AS848" s="22">
        <f t="shared" si="712"/>
        <v>68038.62</v>
      </c>
      <c r="AT848" s="22">
        <f t="shared" si="712"/>
        <v>68038.62</v>
      </c>
      <c r="AU848" s="22">
        <f t="shared" si="712"/>
        <v>68038.62</v>
      </c>
      <c r="AV848" s="22">
        <f t="shared" si="712"/>
        <v>68038.62</v>
      </c>
      <c r="AW848" s="22">
        <f t="shared" si="712"/>
        <v>68038.63</v>
      </c>
      <c r="AX848" s="22">
        <f t="shared" si="712"/>
        <v>67993.87</v>
      </c>
      <c r="AY848" s="22">
        <f t="shared" si="712"/>
        <v>67993.87</v>
      </c>
      <c r="AZ848" s="22">
        <f t="shared" si="712"/>
        <v>67993.87</v>
      </c>
      <c r="BA848" s="22">
        <f t="shared" si="712"/>
        <v>67993.87</v>
      </c>
      <c r="BB848" s="22">
        <f t="shared" si="712"/>
        <v>67993.87</v>
      </c>
      <c r="BC848" s="22">
        <f t="shared" si="712"/>
        <v>67993.87</v>
      </c>
      <c r="BD848" s="22">
        <f t="shared" si="712"/>
        <v>816265.38</v>
      </c>
    </row>
    <row r="849" spans="1:56" x14ac:dyDescent="0.3">
      <c r="D849" s="15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W849" s="41"/>
    </row>
    <row r="850" spans="1:56" ht="15.5" x14ac:dyDescent="0.35">
      <c r="A850" s="33" t="s">
        <v>14</v>
      </c>
      <c r="B850" s="20">
        <f>B844</f>
        <v>104</v>
      </c>
      <c r="C850" s="1" t="s">
        <v>212</v>
      </c>
      <c r="D850" s="25" t="s">
        <v>402</v>
      </c>
      <c r="W850" s="41"/>
    </row>
    <row r="851" spans="1:56" x14ac:dyDescent="0.3">
      <c r="D851" s="8" t="s">
        <v>8</v>
      </c>
      <c r="E851" s="12">
        <v>0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f>SUM(E851:P851)</f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36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12">
        <f>SUM(R851:AC851)</f>
        <v>0</v>
      </c>
      <c r="AE851" s="12">
        <v>0</v>
      </c>
      <c r="AF851" s="12">
        <v>0</v>
      </c>
      <c r="AG851" s="12">
        <v>0</v>
      </c>
      <c r="AH851" s="12">
        <v>0</v>
      </c>
      <c r="AI851" s="12">
        <v>0</v>
      </c>
      <c r="AJ851" s="12">
        <v>0</v>
      </c>
      <c r="AK851" s="12">
        <v>0</v>
      </c>
      <c r="AL851" s="12">
        <v>0</v>
      </c>
      <c r="AM851" s="12">
        <v>0</v>
      </c>
      <c r="AN851" s="12">
        <v>0</v>
      </c>
      <c r="AO851" s="12">
        <v>0</v>
      </c>
      <c r="AP851" s="12">
        <v>0</v>
      </c>
      <c r="AQ851" s="3">
        <f>SUM(AE851:AP851)</f>
        <v>0</v>
      </c>
      <c r="AR851" s="3">
        <v>0</v>
      </c>
      <c r="AS851" s="3">
        <v>0</v>
      </c>
      <c r="AT851" s="3">
        <v>0</v>
      </c>
      <c r="AU851" s="3">
        <v>0</v>
      </c>
      <c r="AV851" s="3">
        <v>0</v>
      </c>
      <c r="AW851" s="3">
        <v>0</v>
      </c>
      <c r="AX851" s="3">
        <v>0</v>
      </c>
      <c r="AY851" s="3">
        <v>0</v>
      </c>
      <c r="AZ851" s="3">
        <v>0</v>
      </c>
      <c r="BA851" s="3">
        <v>0</v>
      </c>
      <c r="BB851" s="3">
        <v>0</v>
      </c>
      <c r="BC851" s="3">
        <v>0</v>
      </c>
      <c r="BD851" s="3">
        <f>SUM(AR851:BC851)</f>
        <v>0</v>
      </c>
    </row>
    <row r="852" spans="1:56" x14ac:dyDescent="0.3">
      <c r="D852" s="8" t="s">
        <v>9</v>
      </c>
      <c r="E852" s="11"/>
      <c r="F852" s="11"/>
      <c r="I852" s="11"/>
      <c r="K852" s="11"/>
      <c r="L852" s="11"/>
      <c r="M852" s="11"/>
      <c r="N852" s="11"/>
      <c r="O852" s="11"/>
      <c r="P852" s="11">
        <f>ROUND(20.83*0.41,2)</f>
        <v>8.5399999999999991</v>
      </c>
      <c r="Q852" s="12">
        <f>SUM(E852:P852)</f>
        <v>8.5399999999999991</v>
      </c>
      <c r="R852" s="11">
        <f>ROUND(250*0.41,2)</f>
        <v>102.5</v>
      </c>
      <c r="W852" s="17">
        <v>7.68</v>
      </c>
      <c r="AD852" s="12">
        <f>SUM(R852:AC852)</f>
        <v>110.18</v>
      </c>
      <c r="AE852" s="11">
        <f>ROUND(250*0.4407,2)-0.01</f>
        <v>110.17</v>
      </c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3">
        <f>SUM(AE852:AP852)</f>
        <v>110.17</v>
      </c>
      <c r="AR852" s="3">
        <v>110.17</v>
      </c>
      <c r="AS852" s="3">
        <v>0</v>
      </c>
      <c r="AT852" s="3">
        <v>0</v>
      </c>
      <c r="AU852" s="3">
        <v>0</v>
      </c>
      <c r="AV852" s="3">
        <v>0</v>
      </c>
      <c r="AW852" s="3">
        <v>0</v>
      </c>
      <c r="AX852" s="3">
        <v>0</v>
      </c>
      <c r="AY852" s="3">
        <v>0</v>
      </c>
      <c r="AZ852" s="3">
        <v>0</v>
      </c>
      <c r="BA852" s="3">
        <v>0</v>
      </c>
      <c r="BB852" s="3">
        <v>0</v>
      </c>
      <c r="BC852" s="3">
        <v>0</v>
      </c>
      <c r="BD852" s="3">
        <f>SUM(AR852:BC852)</f>
        <v>110.17</v>
      </c>
    </row>
    <row r="853" spans="1:56" ht="13.5" thickBot="1" x14ac:dyDescent="0.35">
      <c r="A853">
        <v>2067</v>
      </c>
      <c r="D853" s="8" t="s">
        <v>10</v>
      </c>
      <c r="E853" s="12">
        <v>0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0</v>
      </c>
      <c r="P853" s="12">
        <f>ROUND((35000+241752.17)*0.41,2)</f>
        <v>113468.39</v>
      </c>
      <c r="Q853" s="12">
        <f>SUM(E853:P853)</f>
        <v>113468.39</v>
      </c>
      <c r="R853" s="12">
        <f>ROUND((35000+207216.15)*0.41,2)</f>
        <v>99308.62</v>
      </c>
      <c r="S853" s="12">
        <f>ROUND((35000+207216.15)*0.41,2)</f>
        <v>99308.62</v>
      </c>
      <c r="T853" s="12">
        <f>ROUND((35000+207216.15)*0.41,2)</f>
        <v>99308.62</v>
      </c>
      <c r="U853" s="12">
        <f>ROUND((35000+207216.15)*0.41,2)</f>
        <v>99308.62</v>
      </c>
      <c r="V853" s="12">
        <f>ROUND((35000+207216.15)*0.41,2)</f>
        <v>99308.62</v>
      </c>
      <c r="W853" s="36">
        <f>ROUND((35000+207216.13)*0.4407,2)+37180.2</f>
        <v>143924.84999999998</v>
      </c>
      <c r="X853" s="12">
        <f>ROUND((35000+206195.31)*0.4407,2)</f>
        <v>106294.77</v>
      </c>
      <c r="Y853" s="12">
        <f>ROUND((35000+206195.31)*0.4407,2)</f>
        <v>106294.77</v>
      </c>
      <c r="Z853" s="12">
        <f>ROUND((35000+206195.31)*0.4407,2)</f>
        <v>106294.77</v>
      </c>
      <c r="AA853" s="12">
        <f>ROUND((35000+206195.31)*0.4407,2)</f>
        <v>106294.77</v>
      </c>
      <c r="AB853" s="12">
        <f>ROUND((35000+206195.31)*0.4407,2)</f>
        <v>106294.77</v>
      </c>
      <c r="AC853" s="12">
        <f>ROUND((35000+206195.33)*0.4407,2)</f>
        <v>106294.78</v>
      </c>
      <c r="AD853" s="12">
        <f>SUM(R853:AC853)</f>
        <v>1278236.58</v>
      </c>
      <c r="AE853" s="12">
        <f>ROUND((35000+206195.31)*0.4407,2)</f>
        <v>106294.77</v>
      </c>
      <c r="AF853" s="12">
        <f>ROUND((35000+206195.31)*0.4407,2)</f>
        <v>106294.77</v>
      </c>
      <c r="AG853" s="12">
        <f>ROUND((35000+206195.31)*0.4407,2)</f>
        <v>106294.77</v>
      </c>
      <c r="AH853" s="12">
        <f>ROUND((35000+206195.31)*0.4407,2)</f>
        <v>106294.77</v>
      </c>
      <c r="AI853" s="12">
        <f>ROUND((35000+206195.31)*0.4407,2)</f>
        <v>106294.77</v>
      </c>
      <c r="AJ853" s="12">
        <f>ROUND((35000+206195.33)*0.4407,2)</f>
        <v>106294.78</v>
      </c>
      <c r="AK853" s="12">
        <f>ROUND((37083.33+204445.31)*0.4407,2)</f>
        <v>106441.67</v>
      </c>
      <c r="AL853" s="12">
        <f>ROUND((37083.33+204445.31)*0.4407,2)</f>
        <v>106441.67</v>
      </c>
      <c r="AM853" s="12">
        <f>ROUND((37083.33+204445.31)*0.4407,2)</f>
        <v>106441.67</v>
      </c>
      <c r="AN853" s="12">
        <f>ROUND((37083.33+204445.31)*0.4407,2)</f>
        <v>106441.67</v>
      </c>
      <c r="AO853" s="12">
        <f>ROUND((37083.33+204445.31)*0.4407,2)</f>
        <v>106441.67</v>
      </c>
      <c r="AP853" s="12">
        <f>ROUND((37083.33+204445.33)*0.4407,2)</f>
        <v>106441.68</v>
      </c>
      <c r="AQ853" s="3">
        <f>SUM(AE853:AP853)</f>
        <v>1276418.6599999999</v>
      </c>
      <c r="AR853" s="3">
        <f>ROUND((37083.33+204445.31)*0.4407,2)</f>
        <v>106441.67</v>
      </c>
      <c r="AS853" s="3">
        <f>ROUND((37083.33+204445.31)*0.4407,2)</f>
        <v>106441.67</v>
      </c>
      <c r="AT853" s="3">
        <f>ROUND((37083.33+204445.31)*0.4407,2)</f>
        <v>106441.67</v>
      </c>
      <c r="AU853" s="3">
        <f>ROUND((37083.33+204445.31)*0.4407,2)</f>
        <v>106441.67</v>
      </c>
      <c r="AV853" s="3">
        <f>ROUND((37083.33+204445.31)*0.4407,2)</f>
        <v>106441.67</v>
      </c>
      <c r="AW853" s="3">
        <f>ROUND((37083.37+204445.33)*0.4407,2)</f>
        <v>106441.7</v>
      </c>
      <c r="AX853" s="3">
        <f>ROUND((38750+202619.79)*0.4407,2)</f>
        <v>106371.67</v>
      </c>
      <c r="AY853" s="3">
        <f t="shared" ref="AY853:BB853" si="713">ROUND((38750+202619.79)*0.4407,2)</f>
        <v>106371.67</v>
      </c>
      <c r="AZ853" s="3">
        <f t="shared" si="713"/>
        <v>106371.67</v>
      </c>
      <c r="BA853" s="3">
        <f t="shared" si="713"/>
        <v>106371.67</v>
      </c>
      <c r="BB853" s="3">
        <f t="shared" si="713"/>
        <v>106371.67</v>
      </c>
      <c r="BC853" s="3">
        <f>ROUND((38750+202619.8)*0.4407,2)</f>
        <v>106371.67</v>
      </c>
      <c r="BD853" s="3">
        <f>SUM(AR853:BC853)</f>
        <v>1276880.0699999998</v>
      </c>
    </row>
    <row r="854" spans="1:56" ht="13.5" thickBot="1" x14ac:dyDescent="0.35">
      <c r="D854" s="13" t="s">
        <v>403</v>
      </c>
      <c r="E854" s="14">
        <f t="shared" ref="E854:AC854" si="714">SUM(E851:E853)</f>
        <v>0</v>
      </c>
      <c r="F854" s="14">
        <f t="shared" si="714"/>
        <v>0</v>
      </c>
      <c r="G854" s="14">
        <f t="shared" si="714"/>
        <v>0</v>
      </c>
      <c r="H854" s="14">
        <f t="shared" si="714"/>
        <v>0</v>
      </c>
      <c r="I854" s="14">
        <f t="shared" si="714"/>
        <v>0</v>
      </c>
      <c r="J854" s="14">
        <f t="shared" si="714"/>
        <v>0</v>
      </c>
      <c r="K854" s="14">
        <f t="shared" si="714"/>
        <v>0</v>
      </c>
      <c r="L854" s="14">
        <f t="shared" si="714"/>
        <v>0</v>
      </c>
      <c r="M854" s="14">
        <f t="shared" si="714"/>
        <v>0</v>
      </c>
      <c r="N854" s="14">
        <f t="shared" si="714"/>
        <v>0</v>
      </c>
      <c r="O854" s="14">
        <f t="shared" si="714"/>
        <v>0</v>
      </c>
      <c r="P854" s="14">
        <f t="shared" si="714"/>
        <v>113476.93</v>
      </c>
      <c r="Q854" s="14">
        <f t="shared" si="714"/>
        <v>113476.93</v>
      </c>
      <c r="R854" s="14">
        <f t="shared" si="714"/>
        <v>99411.12</v>
      </c>
      <c r="S854" s="14">
        <f t="shared" si="714"/>
        <v>99308.62</v>
      </c>
      <c r="T854" s="14">
        <f t="shared" si="714"/>
        <v>99308.62</v>
      </c>
      <c r="U854" s="14">
        <f t="shared" si="714"/>
        <v>99308.62</v>
      </c>
      <c r="V854" s="14">
        <f t="shared" si="714"/>
        <v>99308.62</v>
      </c>
      <c r="W854" s="19">
        <f t="shared" si="714"/>
        <v>143932.52999999997</v>
      </c>
      <c r="X854" s="14">
        <f t="shared" si="714"/>
        <v>106294.77</v>
      </c>
      <c r="Y854" s="14">
        <f t="shared" si="714"/>
        <v>106294.77</v>
      </c>
      <c r="Z854" s="14">
        <f t="shared" si="714"/>
        <v>106294.77</v>
      </c>
      <c r="AA854" s="14">
        <f t="shared" si="714"/>
        <v>106294.77</v>
      </c>
      <c r="AB854" s="14">
        <f t="shared" si="714"/>
        <v>106294.77</v>
      </c>
      <c r="AC854" s="14">
        <f t="shared" si="714"/>
        <v>106294.78</v>
      </c>
      <c r="AD854" s="14">
        <f>SUM(AD851:AD853)</f>
        <v>1278346.76</v>
      </c>
      <c r="AE854" s="14">
        <f>SUM(AE851:AE853)</f>
        <v>106404.94</v>
      </c>
      <c r="AF854" s="14">
        <f>SUM(AF851:AF853)</f>
        <v>106294.77</v>
      </c>
      <c r="AG854" s="14">
        <f t="shared" ref="AG854:AP854" si="715">SUM(AG851:AG853)</f>
        <v>106294.77</v>
      </c>
      <c r="AH854" s="14">
        <f t="shared" si="715"/>
        <v>106294.77</v>
      </c>
      <c r="AI854" s="14">
        <f t="shared" si="715"/>
        <v>106294.77</v>
      </c>
      <c r="AJ854" s="14">
        <f t="shared" si="715"/>
        <v>106294.78</v>
      </c>
      <c r="AK854" s="14">
        <f t="shared" si="715"/>
        <v>106441.67</v>
      </c>
      <c r="AL854" s="14">
        <f t="shared" si="715"/>
        <v>106441.67</v>
      </c>
      <c r="AM854" s="14">
        <f t="shared" si="715"/>
        <v>106441.67</v>
      </c>
      <c r="AN854" s="14">
        <f t="shared" si="715"/>
        <v>106441.67</v>
      </c>
      <c r="AO854" s="14">
        <f t="shared" si="715"/>
        <v>106441.67</v>
      </c>
      <c r="AP854" s="14">
        <f t="shared" si="715"/>
        <v>106441.68</v>
      </c>
      <c r="AQ854" s="22">
        <f>SUM(AQ851:AQ853)</f>
        <v>1276528.8299999998</v>
      </c>
      <c r="AR854" s="22">
        <f t="shared" ref="AR854:BD854" si="716">SUM(AR851:AR853)</f>
        <v>106551.84</v>
      </c>
      <c r="AS854" s="22">
        <f t="shared" si="716"/>
        <v>106441.67</v>
      </c>
      <c r="AT854" s="22">
        <f t="shared" si="716"/>
        <v>106441.67</v>
      </c>
      <c r="AU854" s="22">
        <f t="shared" si="716"/>
        <v>106441.67</v>
      </c>
      <c r="AV854" s="22">
        <f t="shared" si="716"/>
        <v>106441.67</v>
      </c>
      <c r="AW854" s="22">
        <f t="shared" si="716"/>
        <v>106441.7</v>
      </c>
      <c r="AX854" s="22">
        <f t="shared" si="716"/>
        <v>106371.67</v>
      </c>
      <c r="AY854" s="22">
        <f t="shared" si="716"/>
        <v>106371.67</v>
      </c>
      <c r="AZ854" s="22">
        <f t="shared" si="716"/>
        <v>106371.67</v>
      </c>
      <c r="BA854" s="22">
        <f t="shared" si="716"/>
        <v>106371.67</v>
      </c>
      <c r="BB854" s="22">
        <f t="shared" si="716"/>
        <v>106371.67</v>
      </c>
      <c r="BC854" s="22">
        <f t="shared" si="716"/>
        <v>106371.67</v>
      </c>
      <c r="BD854" s="22">
        <f t="shared" si="716"/>
        <v>1276990.2399999998</v>
      </c>
    </row>
    <row r="855" spans="1:56" x14ac:dyDescent="0.3">
      <c r="D855" s="15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W855" s="41"/>
    </row>
    <row r="856" spans="1:56" ht="15.5" x14ac:dyDescent="0.35">
      <c r="A856" s="33" t="s">
        <v>14</v>
      </c>
      <c r="B856" s="20">
        <f>B844</f>
        <v>104</v>
      </c>
      <c r="C856" s="1" t="s">
        <v>215</v>
      </c>
      <c r="D856" s="25" t="s">
        <v>404</v>
      </c>
      <c r="W856" s="41"/>
    </row>
    <row r="857" spans="1:56" x14ac:dyDescent="0.3">
      <c r="D857" s="8" t="s">
        <v>8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v>0</v>
      </c>
      <c r="P857" s="12">
        <v>0</v>
      </c>
      <c r="Q857" s="12">
        <f>SUM(E857:P857)</f>
        <v>0</v>
      </c>
      <c r="R857" s="12">
        <v>0</v>
      </c>
      <c r="S857" s="12">
        <v>0</v>
      </c>
      <c r="T857" s="12">
        <v>0</v>
      </c>
      <c r="U857" s="12">
        <v>0</v>
      </c>
      <c r="V857" s="12">
        <v>0</v>
      </c>
      <c r="W857" s="36">
        <v>0</v>
      </c>
      <c r="X857" s="12">
        <v>0</v>
      </c>
      <c r="Y857" s="12">
        <v>0</v>
      </c>
      <c r="Z857" s="12">
        <v>0</v>
      </c>
      <c r="AA857" s="12">
        <v>0</v>
      </c>
      <c r="AB857" s="12">
        <v>0</v>
      </c>
      <c r="AC857" s="12">
        <v>0</v>
      </c>
      <c r="AD857" s="12">
        <f>SUM(R857:AC857)</f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0</v>
      </c>
      <c r="AJ857" s="12">
        <v>0</v>
      </c>
      <c r="AK857" s="12">
        <v>0</v>
      </c>
      <c r="AL857" s="12">
        <v>0</v>
      </c>
      <c r="AM857" s="12">
        <v>0</v>
      </c>
      <c r="AN857" s="12">
        <v>0</v>
      </c>
      <c r="AO857" s="12">
        <v>0</v>
      </c>
      <c r="AP857" s="12">
        <v>0</v>
      </c>
      <c r="AQ857" s="3">
        <f>SUM(AE857:AP857)</f>
        <v>0</v>
      </c>
      <c r="AR857" s="3">
        <v>0</v>
      </c>
      <c r="AS857" s="3">
        <v>0</v>
      </c>
      <c r="AT857" s="3">
        <v>0</v>
      </c>
      <c r="AU857" s="3">
        <v>0</v>
      </c>
      <c r="AV857" s="3">
        <v>0</v>
      </c>
      <c r="AW857" s="3">
        <v>0</v>
      </c>
      <c r="AX857" s="3">
        <v>0</v>
      </c>
      <c r="AY857" s="3">
        <v>0</v>
      </c>
      <c r="AZ857" s="3">
        <v>0</v>
      </c>
      <c r="BA857" s="3">
        <v>0</v>
      </c>
      <c r="BB857" s="3">
        <v>0</v>
      </c>
      <c r="BC857" s="3">
        <v>0</v>
      </c>
      <c r="BD857" s="3">
        <f>SUM(AR857:BC857)</f>
        <v>0</v>
      </c>
    </row>
    <row r="858" spans="1:56" x14ac:dyDescent="0.3">
      <c r="D858" s="8" t="s">
        <v>9</v>
      </c>
      <c r="E858" s="11"/>
      <c r="F858" s="11"/>
      <c r="I858" s="11"/>
      <c r="K858" s="11"/>
      <c r="L858" s="11"/>
      <c r="M858" s="11"/>
      <c r="N858" s="11"/>
      <c r="O858" s="11"/>
      <c r="P858" s="11">
        <f>ROUND(20.83*0.28,2)</f>
        <v>5.83</v>
      </c>
      <c r="Q858" s="12">
        <f>SUM(E858:P858)</f>
        <v>5.83</v>
      </c>
      <c r="R858" s="11">
        <f>ROUND(250*0.28,2)</f>
        <v>70</v>
      </c>
      <c r="W858" s="17">
        <v>-0.6</v>
      </c>
      <c r="AD858" s="12">
        <f>SUM(R858:AC858)</f>
        <v>69.400000000000006</v>
      </c>
      <c r="AE858" s="11">
        <f>ROUND(250*0.2776,2)</f>
        <v>69.400000000000006</v>
      </c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3">
        <f>SUM(AE858:AP858)</f>
        <v>69.400000000000006</v>
      </c>
      <c r="AR858" s="3">
        <f>ROUND((250*0.2776),2)</f>
        <v>69.400000000000006</v>
      </c>
      <c r="AS858" s="3">
        <v>0</v>
      </c>
      <c r="AT858" s="3">
        <v>0</v>
      </c>
      <c r="AU858" s="3">
        <v>0</v>
      </c>
      <c r="AV858" s="3">
        <v>0</v>
      </c>
      <c r="AW858" s="3">
        <v>0</v>
      </c>
      <c r="AX858" s="3">
        <v>0</v>
      </c>
      <c r="AY858" s="3">
        <v>0</v>
      </c>
      <c r="AZ858" s="3">
        <v>0</v>
      </c>
      <c r="BA858" s="3">
        <v>0</v>
      </c>
      <c r="BB858" s="3">
        <v>0</v>
      </c>
      <c r="BC858" s="3">
        <v>0</v>
      </c>
      <c r="BD858" s="3">
        <f>SUM(AR858:BC858)</f>
        <v>69.400000000000006</v>
      </c>
    </row>
    <row r="859" spans="1:56" ht="13.5" thickBot="1" x14ac:dyDescent="0.35">
      <c r="A859">
        <v>1387</v>
      </c>
      <c r="D859" s="8" t="s">
        <v>10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f>ROUND((35000+241752.17)*0.28,2)</f>
        <v>77490.61</v>
      </c>
      <c r="Q859" s="12">
        <f>SUM(E859:P859)</f>
        <v>77490.61</v>
      </c>
      <c r="R859" s="12">
        <f>ROUND((35000+207216.15)*0.28,2)</f>
        <v>67820.52</v>
      </c>
      <c r="S859" s="12">
        <f>ROUND((35000+207216.15)*0.28,2)</f>
        <v>67820.52</v>
      </c>
      <c r="T859" s="12">
        <f>ROUND((35000+207216.15)*0.28,2)</f>
        <v>67820.52</v>
      </c>
      <c r="U859" s="12">
        <f>ROUND((35000+207216.15)*0.28,2)</f>
        <v>67820.52</v>
      </c>
      <c r="V859" s="12">
        <f>ROUND((35000+207216.15)*0.28,2)</f>
        <v>67820.52</v>
      </c>
      <c r="W859" s="36">
        <f>ROUND((35000+207216.13)*0.2776,2)-2906.6</f>
        <v>64332.6</v>
      </c>
      <c r="X859" s="12">
        <f>ROUND((35000+206195.31)*0.2776,2)</f>
        <v>66955.820000000007</v>
      </c>
      <c r="Y859" s="12">
        <f>ROUND((35000+206195.31)*0.2776,2)</f>
        <v>66955.820000000007</v>
      </c>
      <c r="Z859" s="12">
        <f>ROUND((35000+206195.31)*0.2776,2)</f>
        <v>66955.820000000007</v>
      </c>
      <c r="AA859" s="12">
        <f>ROUND((35000+206195.31)*0.2776,2)</f>
        <v>66955.820000000007</v>
      </c>
      <c r="AB859" s="12">
        <f>ROUND((35000+206195.31)*0.2776,2)</f>
        <v>66955.820000000007</v>
      </c>
      <c r="AC859" s="12">
        <f>ROUND((35000+206195.33)*0.2776,2)</f>
        <v>66955.820000000007</v>
      </c>
      <c r="AD859" s="12">
        <f>SUM(R859:AC859)</f>
        <v>805170.12000000034</v>
      </c>
      <c r="AE859" s="12">
        <f>ROUND((35000+206195.31)*0.2776,2)</f>
        <v>66955.820000000007</v>
      </c>
      <c r="AF859" s="12">
        <f>ROUND((35000+206195.31)*0.2776,2)</f>
        <v>66955.820000000007</v>
      </c>
      <c r="AG859" s="12">
        <f>ROUND((35000+206195.31)*0.2776,2)</f>
        <v>66955.820000000007</v>
      </c>
      <c r="AH859" s="12">
        <f>ROUND((35000+206195.31)*0.2776,2)</f>
        <v>66955.820000000007</v>
      </c>
      <c r="AI859" s="12">
        <f>ROUND((35000+206195.31)*0.2776,2)</f>
        <v>66955.820000000007</v>
      </c>
      <c r="AJ859" s="12">
        <f>ROUND((35000+206195.33)*0.2776,2)</f>
        <v>66955.820000000007</v>
      </c>
      <c r="AK859" s="12">
        <f>ROUND((37083.33+204445.31)*0.2776,2)</f>
        <v>67048.350000000006</v>
      </c>
      <c r="AL859" s="12">
        <f>ROUND((37083.33+204445.31)*0.2776,2)</f>
        <v>67048.350000000006</v>
      </c>
      <c r="AM859" s="12">
        <f>ROUND((37083.33+204445.31)*0.2776,2)</f>
        <v>67048.350000000006</v>
      </c>
      <c r="AN859" s="12">
        <f>ROUND((37083.33+204445.31)*0.2776,2)</f>
        <v>67048.350000000006</v>
      </c>
      <c r="AO859" s="12">
        <f>ROUND((37083.33+204445.31)*0.2776,2)</f>
        <v>67048.350000000006</v>
      </c>
      <c r="AP859" s="12">
        <f>ROUND((37083.33+204445.33)*0.2776,2)</f>
        <v>67048.36</v>
      </c>
      <c r="AQ859" s="3">
        <f>SUM(AE859:AP859)</f>
        <v>804025.02999999991</v>
      </c>
      <c r="AR859" s="3">
        <f>ROUND((37083.33+204445.31)*0.2776,2)</f>
        <v>67048.350000000006</v>
      </c>
      <c r="AS859" s="3">
        <f>ROUND((37083.33+204445.31)*0.2776,2)</f>
        <v>67048.350000000006</v>
      </c>
      <c r="AT859" s="3">
        <f>ROUND((37083.33+204445.31)*0.2776,2)</f>
        <v>67048.350000000006</v>
      </c>
      <c r="AU859" s="3">
        <f>ROUND((37083.33+204445.31)*0.2776,2)</f>
        <v>67048.350000000006</v>
      </c>
      <c r="AV859" s="3">
        <f>ROUND((37083.33+204445.31)*0.2776,2)</f>
        <v>67048.350000000006</v>
      </c>
      <c r="AW859" s="3">
        <f>ROUND((37083.37+204445.33)*0.2776,2)</f>
        <v>67048.37</v>
      </c>
      <c r="AX859" s="3">
        <f>ROUND((38750+202619.79)*0.2776,2)</f>
        <v>67004.25</v>
      </c>
      <c r="AY859" s="3">
        <f t="shared" ref="AY859:BB859" si="717">ROUND((38750+202619.79)*0.2776,2)</f>
        <v>67004.25</v>
      </c>
      <c r="AZ859" s="3">
        <f t="shared" si="717"/>
        <v>67004.25</v>
      </c>
      <c r="BA859" s="3">
        <f t="shared" si="717"/>
        <v>67004.25</v>
      </c>
      <c r="BB859" s="3">
        <f t="shared" si="717"/>
        <v>67004.25</v>
      </c>
      <c r="BC859" s="3">
        <f>ROUND((38750+202619.8)*0.2776,2)</f>
        <v>67004.259999999995</v>
      </c>
      <c r="BD859" s="3">
        <f>SUM(AR859:BC859)</f>
        <v>804315.63</v>
      </c>
    </row>
    <row r="860" spans="1:56" ht="13.5" thickBot="1" x14ac:dyDescent="0.35">
      <c r="D860" s="13" t="s">
        <v>405</v>
      </c>
      <c r="E860" s="14">
        <f t="shared" ref="E860:AC860" si="718">SUM(E857:E859)</f>
        <v>0</v>
      </c>
      <c r="F860" s="14">
        <f t="shared" si="718"/>
        <v>0</v>
      </c>
      <c r="G860" s="14">
        <f t="shared" si="718"/>
        <v>0</v>
      </c>
      <c r="H860" s="14">
        <f t="shared" si="718"/>
        <v>0</v>
      </c>
      <c r="I860" s="14">
        <f t="shared" si="718"/>
        <v>0</v>
      </c>
      <c r="J860" s="14">
        <f t="shared" si="718"/>
        <v>0</v>
      </c>
      <c r="K860" s="14">
        <f t="shared" si="718"/>
        <v>0</v>
      </c>
      <c r="L860" s="14">
        <f t="shared" si="718"/>
        <v>0</v>
      </c>
      <c r="M860" s="14">
        <f t="shared" si="718"/>
        <v>0</v>
      </c>
      <c r="N860" s="14">
        <f t="shared" si="718"/>
        <v>0</v>
      </c>
      <c r="O860" s="14">
        <f t="shared" si="718"/>
        <v>0</v>
      </c>
      <c r="P860" s="14">
        <f t="shared" si="718"/>
        <v>77496.44</v>
      </c>
      <c r="Q860" s="14">
        <f t="shared" si="718"/>
        <v>77496.44</v>
      </c>
      <c r="R860" s="14">
        <f t="shared" si="718"/>
        <v>67890.52</v>
      </c>
      <c r="S860" s="14">
        <f t="shared" si="718"/>
        <v>67820.52</v>
      </c>
      <c r="T860" s="14">
        <f t="shared" si="718"/>
        <v>67820.52</v>
      </c>
      <c r="U860" s="14">
        <f t="shared" si="718"/>
        <v>67820.52</v>
      </c>
      <c r="V860" s="14">
        <f t="shared" si="718"/>
        <v>67820.52</v>
      </c>
      <c r="W860" s="19">
        <f t="shared" si="718"/>
        <v>64332</v>
      </c>
      <c r="X860" s="14">
        <f t="shared" si="718"/>
        <v>66955.820000000007</v>
      </c>
      <c r="Y860" s="14">
        <f t="shared" si="718"/>
        <v>66955.820000000007</v>
      </c>
      <c r="Z860" s="14">
        <f t="shared" si="718"/>
        <v>66955.820000000007</v>
      </c>
      <c r="AA860" s="14">
        <f t="shared" si="718"/>
        <v>66955.820000000007</v>
      </c>
      <c r="AB860" s="14">
        <f t="shared" si="718"/>
        <v>66955.820000000007</v>
      </c>
      <c r="AC860" s="14">
        <f t="shared" si="718"/>
        <v>66955.820000000007</v>
      </c>
      <c r="AD860" s="14">
        <f>SUM(AD857:AD859)</f>
        <v>805239.52000000037</v>
      </c>
      <c r="AE860" s="14">
        <f>SUM(AE857:AE859)</f>
        <v>67025.22</v>
      </c>
      <c r="AF860" s="14">
        <f>SUM(AF857:AF859)</f>
        <v>66955.820000000007</v>
      </c>
      <c r="AG860" s="14">
        <f t="shared" ref="AG860:AP860" si="719">SUM(AG857:AG859)</f>
        <v>66955.820000000007</v>
      </c>
      <c r="AH860" s="14">
        <f t="shared" si="719"/>
        <v>66955.820000000007</v>
      </c>
      <c r="AI860" s="14">
        <f t="shared" si="719"/>
        <v>66955.820000000007</v>
      </c>
      <c r="AJ860" s="14">
        <f t="shared" si="719"/>
        <v>66955.820000000007</v>
      </c>
      <c r="AK860" s="14">
        <f t="shared" si="719"/>
        <v>67048.350000000006</v>
      </c>
      <c r="AL860" s="14">
        <f t="shared" si="719"/>
        <v>67048.350000000006</v>
      </c>
      <c r="AM860" s="14">
        <f t="shared" si="719"/>
        <v>67048.350000000006</v>
      </c>
      <c r="AN860" s="14">
        <f t="shared" si="719"/>
        <v>67048.350000000006</v>
      </c>
      <c r="AO860" s="14">
        <f t="shared" si="719"/>
        <v>67048.350000000006</v>
      </c>
      <c r="AP860" s="14">
        <f t="shared" si="719"/>
        <v>67048.36</v>
      </c>
      <c r="AQ860" s="22">
        <f>SUM(AQ857:AQ859)</f>
        <v>804094.42999999993</v>
      </c>
      <c r="AR860" s="22">
        <f t="shared" ref="AR860:BD860" si="720">SUM(AR857:AR859)</f>
        <v>67117.75</v>
      </c>
      <c r="AS860" s="22">
        <f t="shared" si="720"/>
        <v>67048.350000000006</v>
      </c>
      <c r="AT860" s="22">
        <f t="shared" si="720"/>
        <v>67048.350000000006</v>
      </c>
      <c r="AU860" s="22">
        <f t="shared" si="720"/>
        <v>67048.350000000006</v>
      </c>
      <c r="AV860" s="22">
        <f t="shared" si="720"/>
        <v>67048.350000000006</v>
      </c>
      <c r="AW860" s="22">
        <f t="shared" si="720"/>
        <v>67048.37</v>
      </c>
      <c r="AX860" s="22">
        <f t="shared" si="720"/>
        <v>67004.25</v>
      </c>
      <c r="AY860" s="22">
        <f t="shared" si="720"/>
        <v>67004.25</v>
      </c>
      <c r="AZ860" s="22">
        <f t="shared" si="720"/>
        <v>67004.25</v>
      </c>
      <c r="BA860" s="22">
        <f t="shared" si="720"/>
        <v>67004.25</v>
      </c>
      <c r="BB860" s="22">
        <f t="shared" si="720"/>
        <v>67004.25</v>
      </c>
      <c r="BC860" s="22">
        <f t="shared" si="720"/>
        <v>67004.259999999995</v>
      </c>
      <c r="BD860" s="22">
        <f t="shared" si="720"/>
        <v>804385.03</v>
      </c>
    </row>
    <row r="861" spans="1:56" x14ac:dyDescent="0.3">
      <c r="D861" s="15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9"/>
    </row>
    <row r="862" spans="1:56" ht="15.5" x14ac:dyDescent="0.35">
      <c r="B862" s="20">
        <f>B856+1</f>
        <v>105</v>
      </c>
      <c r="C862" s="1" t="s">
        <v>14</v>
      </c>
      <c r="D862" s="25" t="s">
        <v>406</v>
      </c>
    </row>
    <row r="863" spans="1:56" x14ac:dyDescent="0.3">
      <c r="D863" s="8" t="s">
        <v>8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12">
        <f>SUM(R863:AC863)</f>
        <v>0</v>
      </c>
      <c r="AE863" s="12">
        <v>0</v>
      </c>
      <c r="AF863" s="12">
        <v>0</v>
      </c>
      <c r="AG863" s="12">
        <v>0</v>
      </c>
      <c r="AH863" s="12">
        <v>0</v>
      </c>
      <c r="AI863" s="12">
        <v>0</v>
      </c>
      <c r="AJ863" s="12">
        <v>0</v>
      </c>
      <c r="AK863" s="12">
        <v>0</v>
      </c>
      <c r="AL863" s="12">
        <v>0</v>
      </c>
      <c r="AM863" s="12">
        <v>0</v>
      </c>
      <c r="AN863" s="12">
        <v>0</v>
      </c>
      <c r="AO863" s="12">
        <v>0</v>
      </c>
      <c r="AP863" s="12">
        <v>0</v>
      </c>
      <c r="AQ863" s="3">
        <f>SUM(AE863:AP863)</f>
        <v>0</v>
      </c>
      <c r="AR863" s="3">
        <v>0</v>
      </c>
      <c r="AS863" s="3">
        <v>0</v>
      </c>
      <c r="AT863" s="3">
        <v>0</v>
      </c>
      <c r="AU863" s="3">
        <v>0</v>
      </c>
      <c r="AV863" s="3">
        <v>0</v>
      </c>
      <c r="AW863" s="3">
        <v>0</v>
      </c>
      <c r="AX863" s="3">
        <v>0</v>
      </c>
      <c r="AY863" s="3">
        <v>0</v>
      </c>
      <c r="AZ863" s="3">
        <v>0</v>
      </c>
      <c r="BA863" s="3">
        <v>0</v>
      </c>
      <c r="BB863" s="3">
        <v>0</v>
      </c>
      <c r="BC863" s="3">
        <v>0</v>
      </c>
      <c r="BD863" s="3">
        <f>SUM(AR863:BC863)</f>
        <v>0</v>
      </c>
    </row>
    <row r="864" spans="1:56" x14ac:dyDescent="0.3">
      <c r="D864" s="8" t="s">
        <v>9</v>
      </c>
      <c r="R864" s="11">
        <v>250</v>
      </c>
      <c r="AD864" s="12">
        <f>SUM(R864:AC864)</f>
        <v>250</v>
      </c>
      <c r="AE864" s="11">
        <v>250</v>
      </c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3">
        <f>SUM(AE864:AP864)</f>
        <v>250</v>
      </c>
      <c r="AR864" s="3">
        <v>250</v>
      </c>
      <c r="AS864" s="3">
        <v>0</v>
      </c>
      <c r="AT864" s="3">
        <v>0</v>
      </c>
      <c r="AU864" s="3">
        <v>0</v>
      </c>
      <c r="AV864" s="3">
        <v>0</v>
      </c>
      <c r="AW864" s="3">
        <v>0</v>
      </c>
      <c r="AX864" s="3">
        <v>0</v>
      </c>
      <c r="AY864" s="3">
        <v>0</v>
      </c>
      <c r="AZ864" s="3">
        <v>0</v>
      </c>
      <c r="BA864" s="3">
        <v>0</v>
      </c>
      <c r="BB864" s="3">
        <v>0</v>
      </c>
      <c r="BC864" s="3">
        <v>0</v>
      </c>
      <c r="BD864" s="3">
        <f>SUM(AR864:BC864)</f>
        <v>250</v>
      </c>
    </row>
    <row r="865" spans="1:56" ht="13.5" thickBot="1" x14ac:dyDescent="0.35">
      <c r="A865" t="s">
        <v>407</v>
      </c>
      <c r="D865" s="8" t="s">
        <v>10</v>
      </c>
      <c r="R865" s="12">
        <v>18480</v>
      </c>
      <c r="S865" s="12">
        <v>18480</v>
      </c>
      <c r="T865" s="12">
        <v>18480</v>
      </c>
      <c r="U865" s="12">
        <v>18480</v>
      </c>
      <c r="V865" s="12">
        <v>18480</v>
      </c>
      <c r="W865" s="12">
        <v>18480</v>
      </c>
      <c r="X865" s="12">
        <v>18480</v>
      </c>
      <c r="Y865" s="12">
        <v>18480</v>
      </c>
      <c r="Z865" s="12">
        <v>18480</v>
      </c>
      <c r="AA865" s="12">
        <v>18480</v>
      </c>
      <c r="AB865" s="12">
        <v>18480</v>
      </c>
      <c r="AC865" s="12">
        <f>14087.04+18480</f>
        <v>32567.040000000001</v>
      </c>
      <c r="AD865" s="12">
        <f>SUM(R865:AC865)</f>
        <v>235847.04000000001</v>
      </c>
      <c r="AE865" s="12">
        <f>14128.36+18438.68</f>
        <v>32567.040000000001</v>
      </c>
      <c r="AF865" s="12">
        <f>14169.8+18397.23</f>
        <v>32567.03</v>
      </c>
      <c r="AG865" s="12">
        <f>14211.37+18355.67</f>
        <v>32567.040000000001</v>
      </c>
      <c r="AH865" s="12">
        <f>14253.05+18313.98</f>
        <v>32567.03</v>
      </c>
      <c r="AI865" s="12">
        <f>14294.86+18272.17</f>
        <v>32567.03</v>
      </c>
      <c r="AJ865" s="12">
        <f>14336.8+18230.24</f>
        <v>32567.040000000001</v>
      </c>
      <c r="AK865" s="12">
        <f>14378.85+18188.19</f>
        <v>32567.040000000001</v>
      </c>
      <c r="AL865" s="12">
        <f>14421.03+18146.01</f>
        <v>32567.040000000001</v>
      </c>
      <c r="AM865" s="12">
        <f>14463.34+18103.71</f>
        <v>32567.05</v>
      </c>
      <c r="AN865" s="12">
        <f>14505.76+18061.28</f>
        <v>32567.040000000001</v>
      </c>
      <c r="AO865" s="12">
        <f>14548.31+18018.73</f>
        <v>32567.040000000001</v>
      </c>
      <c r="AP865" s="12">
        <f>14590.98+17976.06</f>
        <v>32567.040000000001</v>
      </c>
      <c r="AQ865" s="3">
        <f>SUM(AE865:AP865)</f>
        <v>390804.45999999996</v>
      </c>
      <c r="AR865" s="3">
        <f>14633.78+17933.26</f>
        <v>32567.040000000001</v>
      </c>
      <c r="AS865" s="3">
        <f>14676.71+17890.33</f>
        <v>32567.040000000001</v>
      </c>
      <c r="AT865" s="3">
        <f>14719.76+17847.28</f>
        <v>32567.040000000001</v>
      </c>
      <c r="AU865" s="3">
        <f>14762.94+17804.1</f>
        <v>32567.040000000001</v>
      </c>
      <c r="AV865" s="3">
        <f>14806.24+17760.8</f>
        <v>32567.040000000001</v>
      </c>
      <c r="AW865" s="3">
        <f>14849.67+17717.37</f>
        <v>32567.040000000001</v>
      </c>
      <c r="AX865" s="3">
        <f>14893.23+17673.81</f>
        <v>32567.040000000001</v>
      </c>
      <c r="AY865" s="3">
        <f>14936.92+17630.12</f>
        <v>32567.040000000001</v>
      </c>
      <c r="AZ865" s="3">
        <f>14980.73+17586.3</f>
        <v>32567.03</v>
      </c>
      <c r="BA865" s="3">
        <f>15024.68+17542.36</f>
        <v>32567.040000000001</v>
      </c>
      <c r="BB865" s="3">
        <f>15068.75+17498.29</f>
        <v>32567.040000000001</v>
      </c>
      <c r="BC865" s="3">
        <f>15112.95+17454.09</f>
        <v>32567.040000000001</v>
      </c>
      <c r="BD865" s="3">
        <f>SUM(AR865:BC865)</f>
        <v>390804.47</v>
      </c>
    </row>
    <row r="866" spans="1:56" ht="13.5" thickBot="1" x14ac:dyDescent="0.35">
      <c r="D866" s="13" t="s">
        <v>408</v>
      </c>
      <c r="R866" s="14">
        <f t="shared" ref="R866:AC866" si="721">SUM(R863:R865)</f>
        <v>18730</v>
      </c>
      <c r="S866" s="14">
        <f t="shared" si="721"/>
        <v>18480</v>
      </c>
      <c r="T866" s="14">
        <f t="shared" si="721"/>
        <v>18480</v>
      </c>
      <c r="U866" s="14">
        <f t="shared" si="721"/>
        <v>18480</v>
      </c>
      <c r="V866" s="14">
        <f t="shared" si="721"/>
        <v>18480</v>
      </c>
      <c r="W866" s="14">
        <f t="shared" si="721"/>
        <v>18480</v>
      </c>
      <c r="X866" s="14">
        <f t="shared" si="721"/>
        <v>18480</v>
      </c>
      <c r="Y866" s="14">
        <f t="shared" si="721"/>
        <v>18480</v>
      </c>
      <c r="Z866" s="14">
        <f t="shared" si="721"/>
        <v>18480</v>
      </c>
      <c r="AA866" s="14">
        <f t="shared" si="721"/>
        <v>18480</v>
      </c>
      <c r="AB866" s="14">
        <f t="shared" si="721"/>
        <v>18480</v>
      </c>
      <c r="AC866" s="14">
        <f t="shared" si="721"/>
        <v>32567.040000000001</v>
      </c>
      <c r="AD866" s="14">
        <f>SUM(AD863:AD865)</f>
        <v>236097.04</v>
      </c>
      <c r="AE866" s="14">
        <f>SUM(AE863:AE865)</f>
        <v>32817.040000000001</v>
      </c>
      <c r="AF866" s="14">
        <f>SUM(AF863:AF865)</f>
        <v>32567.03</v>
      </c>
      <c r="AG866" s="14">
        <f t="shared" ref="AG866:AP866" si="722">SUM(AG863:AG865)</f>
        <v>32567.040000000001</v>
      </c>
      <c r="AH866" s="14">
        <f t="shared" si="722"/>
        <v>32567.03</v>
      </c>
      <c r="AI866" s="14">
        <f t="shared" si="722"/>
        <v>32567.03</v>
      </c>
      <c r="AJ866" s="14">
        <f t="shared" si="722"/>
        <v>32567.040000000001</v>
      </c>
      <c r="AK866" s="14">
        <f t="shared" si="722"/>
        <v>32567.040000000001</v>
      </c>
      <c r="AL866" s="14">
        <f t="shared" si="722"/>
        <v>32567.040000000001</v>
      </c>
      <c r="AM866" s="14">
        <f t="shared" si="722"/>
        <v>32567.05</v>
      </c>
      <c r="AN866" s="14">
        <f t="shared" si="722"/>
        <v>32567.040000000001</v>
      </c>
      <c r="AO866" s="14">
        <f t="shared" si="722"/>
        <v>32567.040000000001</v>
      </c>
      <c r="AP866" s="14">
        <f t="shared" si="722"/>
        <v>32567.040000000001</v>
      </c>
      <c r="AQ866" s="22">
        <f>SUM(AQ863:AQ865)</f>
        <v>391054.45999999996</v>
      </c>
      <c r="AR866" s="22">
        <f t="shared" ref="AR866:BD866" si="723">SUM(AR863:AR865)</f>
        <v>32817.040000000001</v>
      </c>
      <c r="AS866" s="22">
        <f t="shared" si="723"/>
        <v>32567.040000000001</v>
      </c>
      <c r="AT866" s="22">
        <f t="shared" si="723"/>
        <v>32567.040000000001</v>
      </c>
      <c r="AU866" s="22">
        <f t="shared" si="723"/>
        <v>32567.040000000001</v>
      </c>
      <c r="AV866" s="22">
        <f t="shared" si="723"/>
        <v>32567.040000000001</v>
      </c>
      <c r="AW866" s="22">
        <f t="shared" si="723"/>
        <v>32567.040000000001</v>
      </c>
      <c r="AX866" s="22">
        <f t="shared" si="723"/>
        <v>32567.040000000001</v>
      </c>
      <c r="AY866" s="22">
        <f t="shared" si="723"/>
        <v>32567.040000000001</v>
      </c>
      <c r="AZ866" s="22">
        <f t="shared" si="723"/>
        <v>32567.03</v>
      </c>
      <c r="BA866" s="22">
        <f t="shared" si="723"/>
        <v>32567.040000000001</v>
      </c>
      <c r="BB866" s="22">
        <f t="shared" si="723"/>
        <v>32567.040000000001</v>
      </c>
      <c r="BC866" s="22">
        <f t="shared" si="723"/>
        <v>32567.040000000001</v>
      </c>
      <c r="BD866" s="22">
        <f t="shared" si="723"/>
        <v>391054.47</v>
      </c>
    </row>
    <row r="867" spans="1:56" x14ac:dyDescent="0.3">
      <c r="D867" s="15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</row>
    <row r="868" spans="1:56" ht="15.5" x14ac:dyDescent="0.35">
      <c r="B868" s="20">
        <f>B862+1</f>
        <v>106</v>
      </c>
      <c r="C868" s="1" t="s">
        <v>14</v>
      </c>
      <c r="D868" s="25" t="s">
        <v>409</v>
      </c>
    </row>
    <row r="869" spans="1:56" x14ac:dyDescent="0.3">
      <c r="D869" s="8" t="s">
        <v>8</v>
      </c>
      <c r="R869" s="12">
        <v>0</v>
      </c>
      <c r="S869" s="12">
        <v>0</v>
      </c>
      <c r="T869" s="12">
        <v>1052.5</v>
      </c>
      <c r="U869" s="12">
        <v>1052.5</v>
      </c>
      <c r="V869" s="12">
        <v>1052.5</v>
      </c>
      <c r="W869" s="12">
        <v>1052.5</v>
      </c>
      <c r="X869" s="12">
        <v>1052.5</v>
      </c>
      <c r="Y869" s="12">
        <v>1052.5</v>
      </c>
      <c r="Z869" s="12">
        <v>1052.5</v>
      </c>
      <c r="AA869" s="12">
        <v>1052.5</v>
      </c>
      <c r="AB869" s="12">
        <v>1052.5</v>
      </c>
      <c r="AC869" s="12">
        <v>1052.5</v>
      </c>
      <c r="AD869" s="12">
        <f>SUM(R869:AC869)</f>
        <v>10525</v>
      </c>
      <c r="AE869" s="12">
        <v>877.08</v>
      </c>
      <c r="AF869" s="12">
        <v>877.08</v>
      </c>
      <c r="AG869" s="12">
        <v>877.08</v>
      </c>
      <c r="AH869" s="12">
        <v>877.08</v>
      </c>
      <c r="AI869" s="12">
        <v>877.08</v>
      </c>
      <c r="AJ869" s="12">
        <v>877.08</v>
      </c>
      <c r="AK869" s="12">
        <v>877.08</v>
      </c>
      <c r="AL869" s="12">
        <v>877.08</v>
      </c>
      <c r="AM869" s="12">
        <v>877.08</v>
      </c>
      <c r="AN869" s="12">
        <v>877.08</v>
      </c>
      <c r="AO869" s="12">
        <v>877.08</v>
      </c>
      <c r="AP869" s="12">
        <v>877.08</v>
      </c>
      <c r="AQ869" s="3">
        <f>SUM(AE869:AP869)</f>
        <v>10524.960000000001</v>
      </c>
      <c r="AR869" s="3">
        <v>858.33</v>
      </c>
      <c r="AS869" s="3">
        <v>858.33</v>
      </c>
      <c r="AT869" s="3">
        <v>858.33</v>
      </c>
      <c r="AU869" s="3">
        <v>858.33</v>
      </c>
      <c r="AV869" s="3">
        <v>858.33</v>
      </c>
      <c r="AW869" s="3">
        <v>858.33</v>
      </c>
      <c r="AX869" s="3">
        <v>858.33</v>
      </c>
      <c r="AY869" s="3">
        <v>858.33</v>
      </c>
      <c r="AZ869" s="3">
        <v>858.33</v>
      </c>
      <c r="BA869" s="3">
        <v>858.33</v>
      </c>
      <c r="BB869" s="3">
        <v>858.33</v>
      </c>
      <c r="BC869" s="3">
        <v>858.33</v>
      </c>
      <c r="BD869" s="3">
        <f>SUM(AR869:BC869)</f>
        <v>10299.960000000001</v>
      </c>
    </row>
    <row r="870" spans="1:56" x14ac:dyDescent="0.3">
      <c r="D870" s="8" t="s">
        <v>9</v>
      </c>
      <c r="R870" s="11"/>
      <c r="T870" s="11">
        <v>208.33</v>
      </c>
      <c r="AD870" s="12">
        <f>SUM(R870:AC870)</f>
        <v>208.33</v>
      </c>
      <c r="AE870" s="11">
        <v>250</v>
      </c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3">
        <f>SUM(AE870:AP870)</f>
        <v>250</v>
      </c>
      <c r="AR870" s="3">
        <v>250</v>
      </c>
      <c r="AS870" s="3">
        <v>0</v>
      </c>
      <c r="AT870" s="3">
        <v>0</v>
      </c>
      <c r="AU870" s="3">
        <v>0</v>
      </c>
      <c r="AV870" s="3">
        <v>0</v>
      </c>
      <c r="AW870" s="3">
        <v>0</v>
      </c>
      <c r="AX870" s="3">
        <v>0</v>
      </c>
      <c r="AY870" s="3">
        <v>0</v>
      </c>
      <c r="AZ870" s="3">
        <v>0</v>
      </c>
      <c r="BA870" s="3">
        <v>0</v>
      </c>
      <c r="BB870" s="3">
        <v>0</v>
      </c>
      <c r="BC870" s="3">
        <v>0</v>
      </c>
      <c r="BD870" s="3">
        <f>SUM(AR870:BC870)</f>
        <v>250</v>
      </c>
    </row>
    <row r="871" spans="1:56" ht="13.5" thickBot="1" x14ac:dyDescent="0.35">
      <c r="A871" t="s">
        <v>410</v>
      </c>
      <c r="D871" s="8" t="s">
        <v>10</v>
      </c>
      <c r="R871" s="12">
        <v>0</v>
      </c>
      <c r="S871" s="12">
        <v>0</v>
      </c>
      <c r="T871" s="12">
        <v>61804.52</v>
      </c>
      <c r="U871" s="12">
        <v>61804.52</v>
      </c>
      <c r="V871" s="12">
        <f>18750+40307.29</f>
        <v>59057.29</v>
      </c>
      <c r="W871" s="12">
        <f t="shared" ref="W871:AH871" si="724">18750+40307.29</f>
        <v>59057.29</v>
      </c>
      <c r="X871" s="12">
        <f t="shared" si="724"/>
        <v>59057.29</v>
      </c>
      <c r="Y871" s="12">
        <f t="shared" si="724"/>
        <v>59057.29</v>
      </c>
      <c r="Z871" s="12">
        <f t="shared" si="724"/>
        <v>59057.29</v>
      </c>
      <c r="AA871" s="12">
        <f t="shared" si="724"/>
        <v>59057.29</v>
      </c>
      <c r="AB871" s="12">
        <f t="shared" si="724"/>
        <v>59057.29</v>
      </c>
      <c r="AC871" s="12">
        <f t="shared" si="724"/>
        <v>59057.29</v>
      </c>
      <c r="AD871" s="12">
        <f>SUM(R871:AC871)</f>
        <v>596067.36</v>
      </c>
      <c r="AE871" s="12">
        <f t="shared" si="724"/>
        <v>59057.29</v>
      </c>
      <c r="AF871" s="12">
        <f t="shared" si="724"/>
        <v>59057.29</v>
      </c>
      <c r="AG871" s="12">
        <f t="shared" si="724"/>
        <v>59057.29</v>
      </c>
      <c r="AH871" s="12">
        <f t="shared" si="724"/>
        <v>59057.29</v>
      </c>
      <c r="AI871" s="12">
        <f>19583.33+39369.79</f>
        <v>58953.120000000003</v>
      </c>
      <c r="AJ871" s="12">
        <f t="shared" ref="AJ871:AP871" si="725">19583.33+39369.79</f>
        <v>58953.120000000003</v>
      </c>
      <c r="AK871" s="12">
        <f t="shared" si="725"/>
        <v>58953.120000000003</v>
      </c>
      <c r="AL871" s="12">
        <f t="shared" si="725"/>
        <v>58953.120000000003</v>
      </c>
      <c r="AM871" s="12">
        <f t="shared" si="725"/>
        <v>58953.120000000003</v>
      </c>
      <c r="AN871" s="12">
        <f t="shared" si="725"/>
        <v>58953.120000000003</v>
      </c>
      <c r="AO871" s="12">
        <f t="shared" si="725"/>
        <v>58953.120000000003</v>
      </c>
      <c r="AP871" s="12">
        <f t="shared" si="725"/>
        <v>58953.120000000003</v>
      </c>
      <c r="AQ871" s="3">
        <f>SUM(AE871:AP871)</f>
        <v>707854.12</v>
      </c>
      <c r="AR871" s="3">
        <f>19583.33+39369.79</f>
        <v>58953.120000000003</v>
      </c>
      <c r="AS871" s="3">
        <f t="shared" ref="AS871:AU871" si="726">19583.33+39369.79</f>
        <v>58953.120000000003</v>
      </c>
      <c r="AT871" s="3">
        <f t="shared" si="726"/>
        <v>58953.120000000003</v>
      </c>
      <c r="AU871" s="3">
        <f t="shared" si="726"/>
        <v>58953.120000000003</v>
      </c>
      <c r="AV871" s="3">
        <f>20416.67+38390.63</f>
        <v>58807.299999999996</v>
      </c>
      <c r="AW871" s="3">
        <f t="shared" ref="AW871:BC871" si="727">20416.67+38390.63</f>
        <v>58807.299999999996</v>
      </c>
      <c r="AX871" s="3">
        <f t="shared" si="727"/>
        <v>58807.299999999996</v>
      </c>
      <c r="AY871" s="3">
        <f t="shared" si="727"/>
        <v>58807.299999999996</v>
      </c>
      <c r="AZ871" s="3">
        <f t="shared" si="727"/>
        <v>58807.299999999996</v>
      </c>
      <c r="BA871" s="3">
        <f t="shared" si="727"/>
        <v>58807.299999999996</v>
      </c>
      <c r="BB871" s="3">
        <f t="shared" si="727"/>
        <v>58807.299999999996</v>
      </c>
      <c r="BC871" s="3">
        <f t="shared" si="727"/>
        <v>58807.299999999996</v>
      </c>
      <c r="BD871" s="3">
        <f>SUM(AR871:BC871)</f>
        <v>706270.88000000012</v>
      </c>
    </row>
    <row r="872" spans="1:56" ht="13.5" thickBot="1" x14ac:dyDescent="0.35">
      <c r="D872" s="13" t="s">
        <v>135</v>
      </c>
      <c r="R872" s="14">
        <f t="shared" ref="R872:AC872" si="728">SUM(R869:R871)</f>
        <v>0</v>
      </c>
      <c r="S872" s="14">
        <f t="shared" si="728"/>
        <v>0</v>
      </c>
      <c r="T872" s="14">
        <f t="shared" si="728"/>
        <v>63065.35</v>
      </c>
      <c r="U872" s="14">
        <f t="shared" si="728"/>
        <v>62857.02</v>
      </c>
      <c r="V872" s="14">
        <f t="shared" si="728"/>
        <v>60109.79</v>
      </c>
      <c r="W872" s="14">
        <f t="shared" si="728"/>
        <v>60109.79</v>
      </c>
      <c r="X872" s="14">
        <f t="shared" si="728"/>
        <v>60109.79</v>
      </c>
      <c r="Y872" s="14">
        <f t="shared" si="728"/>
        <v>60109.79</v>
      </c>
      <c r="Z872" s="14">
        <f t="shared" si="728"/>
        <v>60109.79</v>
      </c>
      <c r="AA872" s="14">
        <f t="shared" si="728"/>
        <v>60109.79</v>
      </c>
      <c r="AB872" s="14">
        <f t="shared" si="728"/>
        <v>60109.79</v>
      </c>
      <c r="AC872" s="14">
        <f t="shared" si="728"/>
        <v>60109.79</v>
      </c>
      <c r="AD872" s="14">
        <f>SUM(AD869:AD871)</f>
        <v>606800.68999999994</v>
      </c>
      <c r="AE872" s="14">
        <f>SUM(AE869:AE871)</f>
        <v>60184.37</v>
      </c>
      <c r="AF872" s="14">
        <f>SUM(AF869:AF871)</f>
        <v>59934.37</v>
      </c>
      <c r="AG872" s="14">
        <f t="shared" ref="AG872:AP872" si="729">SUM(AG869:AG871)</f>
        <v>59934.37</v>
      </c>
      <c r="AH872" s="14">
        <f t="shared" si="729"/>
        <v>59934.37</v>
      </c>
      <c r="AI872" s="14">
        <f t="shared" si="729"/>
        <v>59830.200000000004</v>
      </c>
      <c r="AJ872" s="14">
        <f t="shared" si="729"/>
        <v>59830.200000000004</v>
      </c>
      <c r="AK872" s="14">
        <f t="shared" si="729"/>
        <v>59830.200000000004</v>
      </c>
      <c r="AL872" s="14">
        <f t="shared" si="729"/>
        <v>59830.200000000004</v>
      </c>
      <c r="AM872" s="14">
        <f t="shared" si="729"/>
        <v>59830.200000000004</v>
      </c>
      <c r="AN872" s="14">
        <f t="shared" si="729"/>
        <v>59830.200000000004</v>
      </c>
      <c r="AO872" s="14">
        <f t="shared" si="729"/>
        <v>59830.200000000004</v>
      </c>
      <c r="AP872" s="14">
        <f t="shared" si="729"/>
        <v>59830.200000000004</v>
      </c>
      <c r="AQ872" s="22">
        <f>SUM(AQ869:AQ871)</f>
        <v>718629.08</v>
      </c>
      <c r="AR872" s="22">
        <f t="shared" ref="AR872:BD872" si="730">SUM(AR869:AR871)</f>
        <v>60061.450000000004</v>
      </c>
      <c r="AS872" s="22">
        <f t="shared" si="730"/>
        <v>59811.450000000004</v>
      </c>
      <c r="AT872" s="22">
        <f t="shared" si="730"/>
        <v>59811.450000000004</v>
      </c>
      <c r="AU872" s="22">
        <f t="shared" si="730"/>
        <v>59811.450000000004</v>
      </c>
      <c r="AV872" s="22">
        <f t="shared" si="730"/>
        <v>59665.63</v>
      </c>
      <c r="AW872" s="22">
        <f t="shared" si="730"/>
        <v>59665.63</v>
      </c>
      <c r="AX872" s="22">
        <f t="shared" si="730"/>
        <v>59665.63</v>
      </c>
      <c r="AY872" s="22">
        <f t="shared" si="730"/>
        <v>59665.63</v>
      </c>
      <c r="AZ872" s="22">
        <f t="shared" si="730"/>
        <v>59665.63</v>
      </c>
      <c r="BA872" s="22">
        <f t="shared" si="730"/>
        <v>59665.63</v>
      </c>
      <c r="BB872" s="22">
        <f t="shared" si="730"/>
        <v>59665.63</v>
      </c>
      <c r="BC872" s="22">
        <f t="shared" si="730"/>
        <v>59665.63</v>
      </c>
      <c r="BD872" s="22">
        <f t="shared" si="730"/>
        <v>716820.84000000008</v>
      </c>
    </row>
    <row r="873" spans="1:56" x14ac:dyDescent="0.3">
      <c r="D873" s="15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</row>
    <row r="874" spans="1:56" ht="15.5" x14ac:dyDescent="0.35">
      <c r="A874" s="33" t="s">
        <v>14</v>
      </c>
      <c r="B874" s="1">
        <f>B868+1</f>
        <v>107</v>
      </c>
      <c r="C874" s="34" t="s">
        <v>208</v>
      </c>
      <c r="D874" s="25" t="s">
        <v>411</v>
      </c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</row>
    <row r="875" spans="1:56" x14ac:dyDescent="0.3">
      <c r="D875" s="8" t="s">
        <v>8</v>
      </c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12">
        <f>SUM(R875:AC875)</f>
        <v>0</v>
      </c>
      <c r="AE875" s="12">
        <v>0</v>
      </c>
      <c r="AF875" s="12">
        <v>0</v>
      </c>
      <c r="AG875" s="12">
        <v>0</v>
      </c>
      <c r="AH875" s="12">
        <v>0</v>
      </c>
      <c r="AI875" s="12">
        <v>0</v>
      </c>
      <c r="AJ875" s="12">
        <v>0</v>
      </c>
      <c r="AK875" s="12">
        <v>0</v>
      </c>
      <c r="AL875" s="12">
        <v>0</v>
      </c>
      <c r="AM875" s="12">
        <v>0</v>
      </c>
      <c r="AN875" s="12">
        <v>0</v>
      </c>
      <c r="AO875" s="12">
        <v>0</v>
      </c>
      <c r="AP875" s="12">
        <v>0</v>
      </c>
      <c r="AQ875" s="3">
        <f>SUM(AE875:AP875)</f>
        <v>0</v>
      </c>
      <c r="AR875" s="3">
        <v>0</v>
      </c>
      <c r="AS875" s="3">
        <v>0</v>
      </c>
      <c r="AT875" s="3">
        <v>0</v>
      </c>
      <c r="AU875" s="3">
        <v>0</v>
      </c>
      <c r="AV875" s="3">
        <v>0</v>
      </c>
      <c r="AW875" s="3">
        <v>0</v>
      </c>
      <c r="AX875" s="3">
        <v>0</v>
      </c>
      <c r="AY875" s="3">
        <v>0</v>
      </c>
      <c r="AZ875" s="3">
        <v>0</v>
      </c>
      <c r="BA875" s="3">
        <v>0</v>
      </c>
      <c r="BB875" s="3">
        <v>0</v>
      </c>
      <c r="BC875" s="3">
        <v>0</v>
      </c>
      <c r="BD875" s="3">
        <f>SUM(AR875:BC875)</f>
        <v>0</v>
      </c>
    </row>
    <row r="876" spans="1:56" x14ac:dyDescent="0.3">
      <c r="D876" s="8" t="s">
        <v>9</v>
      </c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11"/>
      <c r="T876" s="11">
        <v>61.94</v>
      </c>
      <c r="AD876" s="12">
        <f>SUM(R876:AC876)</f>
        <v>61.94</v>
      </c>
      <c r="AE876" s="11">
        <v>74.33</v>
      </c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3">
        <f>SUM(AE876:AP876)</f>
        <v>74.33</v>
      </c>
      <c r="AR876" s="3">
        <v>74.319999999999993</v>
      </c>
      <c r="AS876" s="3">
        <v>0</v>
      </c>
      <c r="AT876" s="3">
        <v>0</v>
      </c>
      <c r="AU876" s="3">
        <v>0</v>
      </c>
      <c r="AV876" s="3">
        <v>0</v>
      </c>
      <c r="AW876" s="3">
        <v>0</v>
      </c>
      <c r="AX876" s="3">
        <v>0</v>
      </c>
      <c r="AY876" s="3">
        <v>0</v>
      </c>
      <c r="AZ876" s="3">
        <v>0</v>
      </c>
      <c r="BA876" s="3">
        <v>0</v>
      </c>
      <c r="BB876" s="3">
        <v>0</v>
      </c>
      <c r="BC876" s="3">
        <v>0</v>
      </c>
      <c r="BD876" s="3">
        <f>SUM(AR876:BC876)</f>
        <v>74.319999999999993</v>
      </c>
    </row>
    <row r="877" spans="1:56" ht="13.5" thickBot="1" x14ac:dyDescent="0.35">
      <c r="A877" t="s">
        <v>412</v>
      </c>
      <c r="D877" s="8" t="s">
        <v>10</v>
      </c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12">
        <v>0</v>
      </c>
      <c r="S877" s="12">
        <v>0</v>
      </c>
      <c r="T877" s="12">
        <v>19008.32</v>
      </c>
      <c r="U877" s="12">
        <v>19008.32</v>
      </c>
      <c r="V877" s="12">
        <v>19008.32</v>
      </c>
      <c r="W877" s="12">
        <v>19008.32</v>
      </c>
      <c r="X877" s="12">
        <v>19008.32</v>
      </c>
      <c r="Y877" s="12">
        <v>19008.32</v>
      </c>
      <c r="Z877" s="12">
        <v>19008.32</v>
      </c>
      <c r="AA877" s="12">
        <v>19008.32</v>
      </c>
      <c r="AB877" s="12">
        <v>19008.32</v>
      </c>
      <c r="AC877" s="12">
        <v>19008.330000000002</v>
      </c>
      <c r="AD877" s="12">
        <f>SUM(R877:AC877)</f>
        <v>190083.21000000002</v>
      </c>
      <c r="AE877" s="12">
        <v>19008.32</v>
      </c>
      <c r="AF877" s="12">
        <v>19008.32</v>
      </c>
      <c r="AG877" s="12">
        <v>19008.32</v>
      </c>
      <c r="AH877" s="12">
        <v>19008.32</v>
      </c>
      <c r="AI877" s="12">
        <v>19008.32</v>
      </c>
      <c r="AJ877" s="12">
        <v>19008.32</v>
      </c>
      <c r="AK877" s="12">
        <v>19008.32</v>
      </c>
      <c r="AL877" s="12">
        <v>19008.32</v>
      </c>
      <c r="AM877" s="12">
        <v>19008.32</v>
      </c>
      <c r="AN877" s="12">
        <v>19008.32</v>
      </c>
      <c r="AO877" s="12">
        <v>19008.32</v>
      </c>
      <c r="AP877" s="12">
        <v>19008.330000000002</v>
      </c>
      <c r="AQ877" s="3">
        <f>SUM(AE877:AP877)</f>
        <v>228099.85000000003</v>
      </c>
      <c r="AR877" s="3">
        <v>19082.650000000001</v>
      </c>
      <c r="AS877" s="3">
        <v>19008.32</v>
      </c>
      <c r="AT877" s="3">
        <v>19008.32</v>
      </c>
      <c r="AU877" s="3">
        <v>19008.32</v>
      </c>
      <c r="AV877" s="3">
        <v>19008.32</v>
      </c>
      <c r="AW877" s="3">
        <v>19008.32</v>
      </c>
      <c r="AX877" s="3">
        <v>19008.32</v>
      </c>
      <c r="AY877" s="3">
        <v>19008.32</v>
      </c>
      <c r="AZ877" s="3">
        <v>19008.32</v>
      </c>
      <c r="BA877" s="3">
        <v>19008.32</v>
      </c>
      <c r="BB877" s="3">
        <v>19008.330000000002</v>
      </c>
      <c r="BC877" s="3">
        <v>19008.330000000002</v>
      </c>
      <c r="BD877" s="3">
        <f>SUM(AR877:BC877)</f>
        <v>228174.19000000006</v>
      </c>
    </row>
    <row r="878" spans="1:56" ht="13.5" thickBot="1" x14ac:dyDescent="0.35">
      <c r="D878" s="13" t="s">
        <v>211</v>
      </c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14">
        <f t="shared" ref="R878:AC878" si="731">SUM(R875:R877)</f>
        <v>0</v>
      </c>
      <c r="S878" s="14">
        <f t="shared" si="731"/>
        <v>0</v>
      </c>
      <c r="T878" s="14">
        <f t="shared" si="731"/>
        <v>19070.259999999998</v>
      </c>
      <c r="U878" s="14">
        <f t="shared" si="731"/>
        <v>19008.32</v>
      </c>
      <c r="V878" s="14">
        <f t="shared" si="731"/>
        <v>19008.32</v>
      </c>
      <c r="W878" s="14">
        <f t="shared" si="731"/>
        <v>19008.32</v>
      </c>
      <c r="X878" s="14">
        <f t="shared" si="731"/>
        <v>19008.32</v>
      </c>
      <c r="Y878" s="14">
        <f t="shared" si="731"/>
        <v>19008.32</v>
      </c>
      <c r="Z878" s="14">
        <f t="shared" si="731"/>
        <v>19008.32</v>
      </c>
      <c r="AA878" s="14">
        <f t="shared" si="731"/>
        <v>19008.32</v>
      </c>
      <c r="AB878" s="14">
        <f t="shared" si="731"/>
        <v>19008.32</v>
      </c>
      <c r="AC878" s="14">
        <f t="shared" si="731"/>
        <v>19008.330000000002</v>
      </c>
      <c r="AD878" s="14">
        <f>SUM(AD875:AD877)</f>
        <v>190145.15000000002</v>
      </c>
      <c r="AE878" s="14">
        <f>SUM(AE875:AE877)</f>
        <v>19082.650000000001</v>
      </c>
      <c r="AF878" s="14">
        <f>SUM(AF875:AF877)</f>
        <v>19008.32</v>
      </c>
      <c r="AG878" s="14">
        <f t="shared" ref="AG878:AP878" si="732">SUM(AG875:AG877)</f>
        <v>19008.32</v>
      </c>
      <c r="AH878" s="14">
        <f t="shared" si="732"/>
        <v>19008.32</v>
      </c>
      <c r="AI878" s="14">
        <f t="shared" si="732"/>
        <v>19008.32</v>
      </c>
      <c r="AJ878" s="14">
        <f t="shared" si="732"/>
        <v>19008.32</v>
      </c>
      <c r="AK878" s="14">
        <f t="shared" si="732"/>
        <v>19008.32</v>
      </c>
      <c r="AL878" s="14">
        <f t="shared" si="732"/>
        <v>19008.32</v>
      </c>
      <c r="AM878" s="14">
        <f t="shared" si="732"/>
        <v>19008.32</v>
      </c>
      <c r="AN878" s="14">
        <f t="shared" si="732"/>
        <v>19008.32</v>
      </c>
      <c r="AO878" s="14">
        <f t="shared" si="732"/>
        <v>19008.32</v>
      </c>
      <c r="AP878" s="14">
        <f t="shared" si="732"/>
        <v>19008.330000000002</v>
      </c>
      <c r="AQ878" s="22">
        <f>SUM(AQ875:AQ877)</f>
        <v>228174.18000000002</v>
      </c>
      <c r="AR878" s="22">
        <f t="shared" ref="AR878:BD878" si="733">SUM(AR875:AR877)</f>
        <v>19156.97</v>
      </c>
      <c r="AS878" s="22">
        <f t="shared" si="733"/>
        <v>19008.32</v>
      </c>
      <c r="AT878" s="22">
        <f t="shared" si="733"/>
        <v>19008.32</v>
      </c>
      <c r="AU878" s="22">
        <f t="shared" si="733"/>
        <v>19008.32</v>
      </c>
      <c r="AV878" s="22">
        <f t="shared" si="733"/>
        <v>19008.32</v>
      </c>
      <c r="AW878" s="22">
        <f t="shared" si="733"/>
        <v>19008.32</v>
      </c>
      <c r="AX878" s="22">
        <f t="shared" si="733"/>
        <v>19008.32</v>
      </c>
      <c r="AY878" s="22">
        <f t="shared" si="733"/>
        <v>19008.32</v>
      </c>
      <c r="AZ878" s="22">
        <f t="shared" si="733"/>
        <v>19008.32</v>
      </c>
      <c r="BA878" s="22">
        <f t="shared" si="733"/>
        <v>19008.32</v>
      </c>
      <c r="BB878" s="22">
        <f t="shared" si="733"/>
        <v>19008.330000000002</v>
      </c>
      <c r="BC878" s="22">
        <f t="shared" si="733"/>
        <v>19008.330000000002</v>
      </c>
      <c r="BD878" s="22">
        <f t="shared" si="733"/>
        <v>228248.51000000007</v>
      </c>
    </row>
    <row r="879" spans="1:56" x14ac:dyDescent="0.3">
      <c r="D879" s="15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</row>
    <row r="880" spans="1:56" ht="15.5" x14ac:dyDescent="0.35">
      <c r="A880" s="33" t="s">
        <v>14</v>
      </c>
      <c r="B880" s="1">
        <f>B874</f>
        <v>107</v>
      </c>
      <c r="C880" s="34" t="s">
        <v>212</v>
      </c>
      <c r="D880" s="25" t="s">
        <v>413</v>
      </c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</row>
    <row r="881" spans="1:56" x14ac:dyDescent="0.3">
      <c r="D881" s="8" t="s">
        <v>8</v>
      </c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12">
        <f>SUM(R881:AC881)</f>
        <v>0</v>
      </c>
      <c r="AE881" s="12">
        <v>0</v>
      </c>
      <c r="AF881" s="12">
        <v>0</v>
      </c>
      <c r="AG881" s="12">
        <v>0</v>
      </c>
      <c r="AH881" s="12">
        <v>0</v>
      </c>
      <c r="AI881" s="12">
        <v>0</v>
      </c>
      <c r="AJ881" s="12">
        <v>0</v>
      </c>
      <c r="AK881" s="12">
        <v>0</v>
      </c>
      <c r="AL881" s="12">
        <v>0</v>
      </c>
      <c r="AM881" s="12">
        <v>0</v>
      </c>
      <c r="AN881" s="12">
        <v>0</v>
      </c>
      <c r="AO881" s="12">
        <v>0</v>
      </c>
      <c r="AP881" s="12">
        <v>0</v>
      </c>
      <c r="AQ881" s="3">
        <f>SUM(AE881:AP881)</f>
        <v>0</v>
      </c>
      <c r="AR881" s="3">
        <v>0</v>
      </c>
      <c r="AS881" s="3">
        <v>0</v>
      </c>
      <c r="AT881" s="3">
        <v>0</v>
      </c>
      <c r="AU881" s="3">
        <v>0</v>
      </c>
      <c r="AV881" s="3">
        <v>0</v>
      </c>
      <c r="AW881" s="3">
        <v>0</v>
      </c>
      <c r="AX881" s="3">
        <v>0</v>
      </c>
      <c r="AY881" s="3">
        <v>0</v>
      </c>
      <c r="AZ881" s="3">
        <v>0</v>
      </c>
      <c r="BA881" s="3">
        <v>0</v>
      </c>
      <c r="BB881" s="3">
        <v>0</v>
      </c>
      <c r="BC881" s="3">
        <v>0</v>
      </c>
      <c r="BD881" s="3">
        <f>SUM(AR881:BC881)</f>
        <v>0</v>
      </c>
    </row>
    <row r="882" spans="1:56" x14ac:dyDescent="0.3">
      <c r="D882" s="8" t="s">
        <v>9</v>
      </c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11"/>
      <c r="T882" s="11">
        <v>64.75</v>
      </c>
      <c r="AD882" s="12">
        <f>SUM(R882:AC882)</f>
        <v>64.75</v>
      </c>
      <c r="AE882" s="11">
        <v>77.7</v>
      </c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3">
        <f>SUM(AE882:AP882)</f>
        <v>77.7</v>
      </c>
      <c r="AR882" s="3">
        <v>77.7</v>
      </c>
      <c r="AS882" s="3">
        <v>0</v>
      </c>
      <c r="AT882" s="3">
        <v>0</v>
      </c>
      <c r="AU882" s="3">
        <v>0</v>
      </c>
      <c r="AV882" s="3">
        <v>0</v>
      </c>
      <c r="AW882" s="3">
        <v>0</v>
      </c>
      <c r="AX882" s="3">
        <v>0</v>
      </c>
      <c r="AY882" s="3">
        <v>0</v>
      </c>
      <c r="AZ882" s="3">
        <v>0</v>
      </c>
      <c r="BA882" s="3">
        <v>0</v>
      </c>
      <c r="BB882" s="3">
        <v>0</v>
      </c>
      <c r="BC882" s="3">
        <v>0</v>
      </c>
      <c r="BD882" s="3">
        <f>SUM(AR882:BC882)</f>
        <v>77.7</v>
      </c>
    </row>
    <row r="883" spans="1:56" ht="13.5" thickBot="1" x14ac:dyDescent="0.35">
      <c r="A883" t="s">
        <v>412</v>
      </c>
      <c r="D883" s="8" t="s">
        <v>10</v>
      </c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12">
        <v>0</v>
      </c>
      <c r="S883" s="12">
        <v>0</v>
      </c>
      <c r="T883" s="12">
        <v>19871.46</v>
      </c>
      <c r="U883" s="12">
        <v>19871.46</v>
      </c>
      <c r="V883" s="12">
        <v>19871.46</v>
      </c>
      <c r="W883" s="12">
        <v>19871.46</v>
      </c>
      <c r="X883" s="12">
        <v>19871.46</v>
      </c>
      <c r="Y883" s="12">
        <v>19871.47</v>
      </c>
      <c r="Z883" s="12">
        <v>19871.47</v>
      </c>
      <c r="AA883" s="12">
        <v>19871.47</v>
      </c>
      <c r="AB883" s="12">
        <v>19871.47</v>
      </c>
      <c r="AC883" s="12">
        <v>19871.46</v>
      </c>
      <c r="AD883" s="12">
        <f>SUM(R883:AC883)</f>
        <v>198714.63999999998</v>
      </c>
      <c r="AE883" s="12">
        <v>19871.46</v>
      </c>
      <c r="AF883" s="12">
        <v>19871.46</v>
      </c>
      <c r="AG883" s="12">
        <v>19871.46</v>
      </c>
      <c r="AH883" s="12">
        <v>19871.46</v>
      </c>
      <c r="AI883" s="12">
        <v>19871.46</v>
      </c>
      <c r="AJ883" s="12">
        <v>19871.46</v>
      </c>
      <c r="AK883" s="12">
        <v>19871.47</v>
      </c>
      <c r="AL883" s="12">
        <v>19871.47</v>
      </c>
      <c r="AM883" s="12">
        <v>19871.47</v>
      </c>
      <c r="AN883" s="12">
        <v>19871.47</v>
      </c>
      <c r="AO883" s="12">
        <v>19871.47</v>
      </c>
      <c r="AP883" s="12">
        <v>19871.46</v>
      </c>
      <c r="AQ883" s="3">
        <f>SUM(AE883:AP883)</f>
        <v>238457.56999999998</v>
      </c>
      <c r="AR883" s="3">
        <v>19949.16</v>
      </c>
      <c r="AS883" s="3">
        <v>19871.46</v>
      </c>
      <c r="AT883" s="3">
        <v>19871.46</v>
      </c>
      <c r="AU883" s="3">
        <v>19871.46</v>
      </c>
      <c r="AV883" s="3">
        <v>19871.46</v>
      </c>
      <c r="AW883" s="3">
        <v>19871.47</v>
      </c>
      <c r="AX883" s="3">
        <v>19871.47</v>
      </c>
      <c r="AY883" s="3">
        <v>19871.47</v>
      </c>
      <c r="AZ883" s="3">
        <v>19871.47</v>
      </c>
      <c r="BA883" s="3">
        <v>19871.47</v>
      </c>
      <c r="BB883" s="3">
        <v>19871.46</v>
      </c>
      <c r="BC883" s="3">
        <v>19871.46</v>
      </c>
      <c r="BD883" s="3">
        <f>SUM(AR883:BC883)</f>
        <v>238535.27</v>
      </c>
    </row>
    <row r="884" spans="1:56" ht="13.5" thickBot="1" x14ac:dyDescent="0.35">
      <c r="D884" s="13" t="s">
        <v>214</v>
      </c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14">
        <f t="shared" ref="R884:AC884" si="734">SUM(R881:R883)</f>
        <v>0</v>
      </c>
      <c r="S884" s="14">
        <f t="shared" si="734"/>
        <v>0</v>
      </c>
      <c r="T884" s="14">
        <f t="shared" si="734"/>
        <v>19936.21</v>
      </c>
      <c r="U884" s="14">
        <f t="shared" si="734"/>
        <v>19871.46</v>
      </c>
      <c r="V884" s="14">
        <f t="shared" si="734"/>
        <v>19871.46</v>
      </c>
      <c r="W884" s="14">
        <f t="shared" si="734"/>
        <v>19871.46</v>
      </c>
      <c r="X884" s="14">
        <f t="shared" si="734"/>
        <v>19871.46</v>
      </c>
      <c r="Y884" s="14">
        <f t="shared" si="734"/>
        <v>19871.47</v>
      </c>
      <c r="Z884" s="14">
        <f t="shared" si="734"/>
        <v>19871.47</v>
      </c>
      <c r="AA884" s="14">
        <f t="shared" si="734"/>
        <v>19871.47</v>
      </c>
      <c r="AB884" s="14">
        <f t="shared" si="734"/>
        <v>19871.47</v>
      </c>
      <c r="AC884" s="14">
        <f t="shared" si="734"/>
        <v>19871.46</v>
      </c>
      <c r="AD884" s="14">
        <f>SUM(AD881:AD883)</f>
        <v>198779.38999999998</v>
      </c>
      <c r="AE884" s="14">
        <f>SUM(AE881:AE883)</f>
        <v>19949.16</v>
      </c>
      <c r="AF884" s="14">
        <f>SUM(AF881:AF883)</f>
        <v>19871.46</v>
      </c>
      <c r="AG884" s="14">
        <f t="shared" ref="AG884:AP884" si="735">SUM(AG881:AG883)</f>
        <v>19871.46</v>
      </c>
      <c r="AH884" s="14">
        <f t="shared" si="735"/>
        <v>19871.46</v>
      </c>
      <c r="AI884" s="14">
        <f t="shared" si="735"/>
        <v>19871.46</v>
      </c>
      <c r="AJ884" s="14">
        <f t="shared" si="735"/>
        <v>19871.46</v>
      </c>
      <c r="AK884" s="14">
        <f t="shared" si="735"/>
        <v>19871.47</v>
      </c>
      <c r="AL884" s="14">
        <f t="shared" si="735"/>
        <v>19871.47</v>
      </c>
      <c r="AM884" s="14">
        <f t="shared" si="735"/>
        <v>19871.47</v>
      </c>
      <c r="AN884" s="14">
        <f t="shared" si="735"/>
        <v>19871.47</v>
      </c>
      <c r="AO884" s="14">
        <f t="shared" si="735"/>
        <v>19871.47</v>
      </c>
      <c r="AP884" s="14">
        <f t="shared" si="735"/>
        <v>19871.46</v>
      </c>
      <c r="AQ884" s="22">
        <f>SUM(AQ881:AQ883)</f>
        <v>238535.27</v>
      </c>
      <c r="AR884" s="22">
        <f t="shared" ref="AR884:BD884" si="736">SUM(AR881:AR883)</f>
        <v>20026.86</v>
      </c>
      <c r="AS884" s="22">
        <f t="shared" si="736"/>
        <v>19871.46</v>
      </c>
      <c r="AT884" s="22">
        <f t="shared" si="736"/>
        <v>19871.46</v>
      </c>
      <c r="AU884" s="22">
        <f t="shared" si="736"/>
        <v>19871.46</v>
      </c>
      <c r="AV884" s="22">
        <f t="shared" si="736"/>
        <v>19871.46</v>
      </c>
      <c r="AW884" s="22">
        <f t="shared" si="736"/>
        <v>19871.47</v>
      </c>
      <c r="AX884" s="22">
        <f t="shared" si="736"/>
        <v>19871.47</v>
      </c>
      <c r="AY884" s="22">
        <f t="shared" si="736"/>
        <v>19871.47</v>
      </c>
      <c r="AZ884" s="22">
        <f t="shared" si="736"/>
        <v>19871.47</v>
      </c>
      <c r="BA884" s="22">
        <f t="shared" si="736"/>
        <v>19871.47</v>
      </c>
      <c r="BB884" s="22">
        <f t="shared" si="736"/>
        <v>19871.46</v>
      </c>
      <c r="BC884" s="22">
        <f t="shared" si="736"/>
        <v>19871.46</v>
      </c>
      <c r="BD884" s="22">
        <f t="shared" si="736"/>
        <v>238612.97</v>
      </c>
    </row>
    <row r="885" spans="1:56" x14ac:dyDescent="0.3">
      <c r="D885" s="15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</row>
    <row r="886" spans="1:56" ht="15.5" x14ac:dyDescent="0.35">
      <c r="A886" s="33" t="s">
        <v>14</v>
      </c>
      <c r="B886" s="1">
        <f>B874</f>
        <v>107</v>
      </c>
      <c r="C886" s="34" t="s">
        <v>215</v>
      </c>
      <c r="D886" s="25" t="s">
        <v>414</v>
      </c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</row>
    <row r="887" spans="1:56" x14ac:dyDescent="0.3">
      <c r="D887" s="8" t="s">
        <v>8</v>
      </c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12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12">
        <f>SUM(R887:AC887)</f>
        <v>0</v>
      </c>
      <c r="AE887" s="12">
        <v>0</v>
      </c>
      <c r="AF887" s="12">
        <v>0</v>
      </c>
      <c r="AG887" s="12">
        <v>0</v>
      </c>
      <c r="AH887" s="12">
        <v>0</v>
      </c>
      <c r="AI887" s="12">
        <v>0</v>
      </c>
      <c r="AJ887" s="12">
        <v>0</v>
      </c>
      <c r="AK887" s="12">
        <v>0</v>
      </c>
      <c r="AL887" s="12">
        <v>0</v>
      </c>
      <c r="AM887" s="12">
        <v>0</v>
      </c>
      <c r="AN887" s="12">
        <v>0</v>
      </c>
      <c r="AO887" s="12">
        <v>0</v>
      </c>
      <c r="AP887" s="12">
        <v>0</v>
      </c>
      <c r="AQ887" s="3">
        <f>SUM(AE887:AP887)</f>
        <v>0</v>
      </c>
      <c r="AR887" s="3">
        <v>0</v>
      </c>
      <c r="AS887" s="3">
        <v>0</v>
      </c>
      <c r="AT887" s="3">
        <v>0</v>
      </c>
      <c r="AU887" s="3">
        <v>0</v>
      </c>
      <c r="AV887" s="3">
        <v>0</v>
      </c>
      <c r="AW887" s="3">
        <v>0</v>
      </c>
      <c r="AX887" s="3">
        <v>0</v>
      </c>
      <c r="AY887" s="3">
        <v>0</v>
      </c>
      <c r="AZ887" s="3">
        <v>0</v>
      </c>
      <c r="BA887" s="3">
        <v>0</v>
      </c>
      <c r="BB887" s="3">
        <v>0</v>
      </c>
      <c r="BC887" s="3">
        <v>0</v>
      </c>
      <c r="BD887" s="3">
        <f>SUM(AR887:BC887)</f>
        <v>0</v>
      </c>
    </row>
    <row r="888" spans="1:56" x14ac:dyDescent="0.3">
      <c r="D888" s="8" t="s">
        <v>9</v>
      </c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11"/>
      <c r="T888" s="11">
        <v>81.64</v>
      </c>
      <c r="AD888" s="12">
        <f>SUM(R888:AC888)</f>
        <v>81.64</v>
      </c>
      <c r="AE888" s="11">
        <v>97.97</v>
      </c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3">
        <f>SUM(AE888:AP888)</f>
        <v>97.97</v>
      </c>
      <c r="AR888" s="3">
        <v>97.98</v>
      </c>
      <c r="AS888" s="3">
        <v>0</v>
      </c>
      <c r="AT888" s="3">
        <v>0</v>
      </c>
      <c r="AU888" s="3">
        <v>0</v>
      </c>
      <c r="AV888" s="3">
        <v>0</v>
      </c>
      <c r="AW888" s="3">
        <v>0</v>
      </c>
      <c r="AX888" s="3">
        <v>0</v>
      </c>
      <c r="AY888" s="3">
        <v>0</v>
      </c>
      <c r="AZ888" s="3">
        <v>0</v>
      </c>
      <c r="BA888" s="3">
        <v>0</v>
      </c>
      <c r="BB888" s="3">
        <v>0</v>
      </c>
      <c r="BC888" s="3">
        <v>0</v>
      </c>
      <c r="BD888" s="3">
        <f>SUM(AR888:BC888)</f>
        <v>97.98</v>
      </c>
    </row>
    <row r="889" spans="1:56" ht="13.5" thickBot="1" x14ac:dyDescent="0.35">
      <c r="A889" t="s">
        <v>415</v>
      </c>
      <c r="D889" s="8" t="s">
        <v>10</v>
      </c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12">
        <v>0</v>
      </c>
      <c r="S889" s="12">
        <v>0</v>
      </c>
      <c r="T889" s="12">
        <v>25056.720000000001</v>
      </c>
      <c r="U889" s="12">
        <v>25056.720000000001</v>
      </c>
      <c r="V889" s="12">
        <v>25056.720000000001</v>
      </c>
      <c r="W889" s="12">
        <v>25056.720000000001</v>
      </c>
      <c r="X889" s="12">
        <v>25056.720000000001</v>
      </c>
      <c r="Y889" s="12">
        <v>25056.71</v>
      </c>
      <c r="Z889" s="12">
        <v>25056.71</v>
      </c>
      <c r="AA889" s="12">
        <v>25056.71</v>
      </c>
      <c r="AB889" s="12">
        <v>25056.71</v>
      </c>
      <c r="AC889" s="12">
        <v>25056.71</v>
      </c>
      <c r="AD889" s="12">
        <f>SUM(R889:AC889)</f>
        <v>250567.14999999997</v>
      </c>
      <c r="AE889" s="12">
        <v>25056.720000000001</v>
      </c>
      <c r="AF889" s="12">
        <v>25056.720000000001</v>
      </c>
      <c r="AG889" s="12">
        <v>25056.720000000001</v>
      </c>
      <c r="AH889" s="12">
        <v>25056.720000000001</v>
      </c>
      <c r="AI889" s="12">
        <v>25056.720000000001</v>
      </c>
      <c r="AJ889" s="12">
        <v>25056.720000000001</v>
      </c>
      <c r="AK889" s="12">
        <v>25056.71</v>
      </c>
      <c r="AL889" s="12">
        <v>25056.71</v>
      </c>
      <c r="AM889" s="12">
        <v>25056.71</v>
      </c>
      <c r="AN889" s="12">
        <v>25056.71</v>
      </c>
      <c r="AO889" s="12">
        <v>25056.71</v>
      </c>
      <c r="AP889" s="12">
        <v>25056.71</v>
      </c>
      <c r="AQ889" s="3">
        <f>SUM(AE889:AP889)</f>
        <v>300680.58</v>
      </c>
      <c r="AR889" s="3">
        <v>25154.69</v>
      </c>
      <c r="AS889" s="3">
        <v>25056.720000000001</v>
      </c>
      <c r="AT889" s="3">
        <v>25056.720000000001</v>
      </c>
      <c r="AU889" s="3">
        <v>25056.720000000001</v>
      </c>
      <c r="AV889" s="3">
        <v>25056.720000000001</v>
      </c>
      <c r="AW889" s="3">
        <v>25056.71</v>
      </c>
      <c r="AX889" s="3">
        <v>25056.71</v>
      </c>
      <c r="AY889" s="3">
        <v>25056.71</v>
      </c>
      <c r="AZ889" s="3">
        <v>25056.71</v>
      </c>
      <c r="BA889" s="3">
        <v>25056.71</v>
      </c>
      <c r="BB889" s="3">
        <v>25056.71</v>
      </c>
      <c r="BC889" s="3">
        <v>25056.71</v>
      </c>
      <c r="BD889" s="3">
        <f>SUM(AR889:BC889)</f>
        <v>300778.53999999998</v>
      </c>
    </row>
    <row r="890" spans="1:56" ht="13.5" thickBot="1" x14ac:dyDescent="0.35">
      <c r="D890" s="13" t="s">
        <v>217</v>
      </c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14">
        <f t="shared" ref="R890:AC890" si="737">SUM(R887:R889)</f>
        <v>0</v>
      </c>
      <c r="S890" s="14">
        <f t="shared" si="737"/>
        <v>0</v>
      </c>
      <c r="T890" s="14">
        <f t="shared" si="737"/>
        <v>25138.36</v>
      </c>
      <c r="U890" s="14">
        <f t="shared" si="737"/>
        <v>25056.720000000001</v>
      </c>
      <c r="V890" s="14">
        <f t="shared" si="737"/>
        <v>25056.720000000001</v>
      </c>
      <c r="W890" s="14">
        <f t="shared" si="737"/>
        <v>25056.720000000001</v>
      </c>
      <c r="X890" s="14">
        <f t="shared" si="737"/>
        <v>25056.720000000001</v>
      </c>
      <c r="Y890" s="14">
        <f t="shared" si="737"/>
        <v>25056.71</v>
      </c>
      <c r="Z890" s="14">
        <f t="shared" si="737"/>
        <v>25056.71</v>
      </c>
      <c r="AA890" s="14">
        <f t="shared" si="737"/>
        <v>25056.71</v>
      </c>
      <c r="AB890" s="14">
        <f t="shared" si="737"/>
        <v>25056.71</v>
      </c>
      <c r="AC890" s="14">
        <f t="shared" si="737"/>
        <v>25056.71</v>
      </c>
      <c r="AD890" s="14">
        <f>SUM(AD887:AD889)</f>
        <v>250648.78999999998</v>
      </c>
      <c r="AE890" s="14">
        <f>SUM(AE887:AE889)</f>
        <v>25154.690000000002</v>
      </c>
      <c r="AF890" s="14">
        <f>SUM(AF887:AF889)</f>
        <v>25056.720000000001</v>
      </c>
      <c r="AG890" s="14">
        <f t="shared" ref="AG890:AP890" si="738">SUM(AG887:AG889)</f>
        <v>25056.720000000001</v>
      </c>
      <c r="AH890" s="14">
        <f t="shared" si="738"/>
        <v>25056.720000000001</v>
      </c>
      <c r="AI890" s="14">
        <f t="shared" si="738"/>
        <v>25056.720000000001</v>
      </c>
      <c r="AJ890" s="14">
        <f t="shared" si="738"/>
        <v>25056.720000000001</v>
      </c>
      <c r="AK890" s="14">
        <f t="shared" si="738"/>
        <v>25056.71</v>
      </c>
      <c r="AL890" s="14">
        <f t="shared" si="738"/>
        <v>25056.71</v>
      </c>
      <c r="AM890" s="14">
        <f t="shared" si="738"/>
        <v>25056.71</v>
      </c>
      <c r="AN890" s="14">
        <f t="shared" si="738"/>
        <v>25056.71</v>
      </c>
      <c r="AO890" s="14">
        <f t="shared" si="738"/>
        <v>25056.71</v>
      </c>
      <c r="AP890" s="14">
        <f t="shared" si="738"/>
        <v>25056.71</v>
      </c>
      <c r="AQ890" s="22">
        <f>SUM(AQ887:AQ889)</f>
        <v>300778.55</v>
      </c>
      <c r="AR890" s="22">
        <f t="shared" ref="AR890:BD890" si="739">SUM(AR887:AR889)</f>
        <v>25252.67</v>
      </c>
      <c r="AS890" s="22">
        <f t="shared" si="739"/>
        <v>25056.720000000001</v>
      </c>
      <c r="AT890" s="22">
        <f t="shared" si="739"/>
        <v>25056.720000000001</v>
      </c>
      <c r="AU890" s="22">
        <f t="shared" si="739"/>
        <v>25056.720000000001</v>
      </c>
      <c r="AV890" s="22">
        <f t="shared" si="739"/>
        <v>25056.720000000001</v>
      </c>
      <c r="AW890" s="22">
        <f t="shared" si="739"/>
        <v>25056.71</v>
      </c>
      <c r="AX890" s="22">
        <f t="shared" si="739"/>
        <v>25056.71</v>
      </c>
      <c r="AY890" s="22">
        <f t="shared" si="739"/>
        <v>25056.71</v>
      </c>
      <c r="AZ890" s="22">
        <f t="shared" si="739"/>
        <v>25056.71</v>
      </c>
      <c r="BA890" s="22">
        <f t="shared" si="739"/>
        <v>25056.71</v>
      </c>
      <c r="BB890" s="22">
        <f t="shared" si="739"/>
        <v>25056.71</v>
      </c>
      <c r="BC890" s="22">
        <f t="shared" si="739"/>
        <v>25056.71</v>
      </c>
      <c r="BD890" s="22">
        <f t="shared" si="739"/>
        <v>300876.51999999996</v>
      </c>
    </row>
    <row r="891" spans="1:56" x14ac:dyDescent="0.3">
      <c r="D891" s="15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</row>
    <row r="892" spans="1:56" ht="15.5" x14ac:dyDescent="0.35">
      <c r="B892" s="1">
        <f>B874+1</f>
        <v>108</v>
      </c>
      <c r="C892" s="34" t="s">
        <v>14</v>
      </c>
      <c r="D892" s="25" t="s">
        <v>416</v>
      </c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</row>
    <row r="893" spans="1:56" x14ac:dyDescent="0.3">
      <c r="D893" s="8" t="s">
        <v>8</v>
      </c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v>0</v>
      </c>
      <c r="AB893" s="12">
        <v>0</v>
      </c>
      <c r="AC893" s="12">
        <v>0</v>
      </c>
      <c r="AD893" s="12">
        <f>SUM(R893:AC893)</f>
        <v>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0</v>
      </c>
      <c r="AK893" s="12">
        <v>0</v>
      </c>
      <c r="AL893" s="12">
        <v>0</v>
      </c>
      <c r="AM893" s="12">
        <v>0</v>
      </c>
      <c r="AN893" s="12">
        <v>0</v>
      </c>
      <c r="AO893" s="12">
        <v>0</v>
      </c>
      <c r="AP893" s="12">
        <v>0</v>
      </c>
      <c r="AQ893" s="3">
        <f>SUM(AE893:AP893)</f>
        <v>0</v>
      </c>
      <c r="AR893" s="3">
        <v>0</v>
      </c>
      <c r="AS893" s="3">
        <v>0</v>
      </c>
      <c r="AT893" s="3">
        <v>0</v>
      </c>
      <c r="AU893" s="3">
        <v>0</v>
      </c>
      <c r="AV893" s="3">
        <v>0</v>
      </c>
      <c r="AW893" s="3">
        <v>0</v>
      </c>
      <c r="AX893" s="3">
        <v>0</v>
      </c>
      <c r="AY893" s="3">
        <v>0</v>
      </c>
      <c r="AZ893" s="3">
        <v>0</v>
      </c>
      <c r="BA893" s="3">
        <v>0</v>
      </c>
      <c r="BB893" s="3">
        <v>0</v>
      </c>
      <c r="BC893" s="3">
        <v>0</v>
      </c>
      <c r="BD893" s="3">
        <f>SUM(AR893:BC893)</f>
        <v>0</v>
      </c>
    </row>
    <row r="894" spans="1:56" x14ac:dyDescent="0.3">
      <c r="D894" s="8" t="s">
        <v>9</v>
      </c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11"/>
      <c r="T894" s="11">
        <v>208.33</v>
      </c>
      <c r="AD894" s="12">
        <f>SUM(R894:AC894)</f>
        <v>208.33</v>
      </c>
      <c r="AE894" s="11">
        <v>250</v>
      </c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3">
        <f>SUM(AE894:AP894)</f>
        <v>250</v>
      </c>
      <c r="AR894" s="3">
        <v>250</v>
      </c>
      <c r="AS894" s="3">
        <v>0</v>
      </c>
      <c r="AT894" s="3">
        <v>0</v>
      </c>
      <c r="AU894" s="3">
        <v>0</v>
      </c>
      <c r="AV894" s="3">
        <v>0</v>
      </c>
      <c r="AW894" s="3">
        <v>0</v>
      </c>
      <c r="AX894" s="3">
        <v>0</v>
      </c>
      <c r="AY894" s="3">
        <v>0</v>
      </c>
      <c r="AZ894" s="3">
        <v>0</v>
      </c>
      <c r="BA894" s="3">
        <v>0</v>
      </c>
      <c r="BB894" s="3">
        <v>0</v>
      </c>
      <c r="BC894" s="3">
        <v>0</v>
      </c>
      <c r="BD894" s="3">
        <f>SUM(AR894:BC894)</f>
        <v>250</v>
      </c>
    </row>
    <row r="895" spans="1:56" ht="13.5" thickBot="1" x14ac:dyDescent="0.35">
      <c r="A895" t="s">
        <v>417</v>
      </c>
      <c r="D895" s="8" t="s">
        <v>10</v>
      </c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12">
        <v>0</v>
      </c>
      <c r="S895" s="12">
        <v>0</v>
      </c>
      <c r="T895" s="12">
        <v>21313</v>
      </c>
      <c r="U895" s="12">
        <v>21313</v>
      </c>
      <c r="V895" s="12">
        <v>21313</v>
      </c>
      <c r="W895" s="12">
        <v>21313</v>
      </c>
      <c r="X895" s="12">
        <v>21313</v>
      </c>
      <c r="Y895" s="12">
        <v>21313</v>
      </c>
      <c r="Z895" s="12">
        <v>21313</v>
      </c>
      <c r="AA895" s="12">
        <v>21313</v>
      </c>
      <c r="AB895" s="12">
        <v>21313</v>
      </c>
      <c r="AC895" s="12">
        <v>21313</v>
      </c>
      <c r="AD895" s="12">
        <f>SUM(R895:AC895)</f>
        <v>213130</v>
      </c>
      <c r="AE895" s="12">
        <v>21313</v>
      </c>
      <c r="AF895" s="12">
        <v>21313</v>
      </c>
      <c r="AG895" s="12">
        <v>21313</v>
      </c>
      <c r="AH895" s="12">
        <v>21313</v>
      </c>
      <c r="AI895" s="12">
        <v>21313</v>
      </c>
      <c r="AJ895" s="12">
        <v>21313</v>
      </c>
      <c r="AK895" s="12">
        <v>21313</v>
      </c>
      <c r="AL895" s="12">
        <v>21313</v>
      </c>
      <c r="AM895" s="12">
        <v>21313</v>
      </c>
      <c r="AN895" s="12">
        <v>21313</v>
      </c>
      <c r="AO895" s="12">
        <v>21313</v>
      </c>
      <c r="AP895" s="12">
        <v>21313</v>
      </c>
      <c r="AQ895" s="3">
        <f>SUM(AE895:AP895)</f>
        <v>255756</v>
      </c>
      <c r="AR895" s="3">
        <v>21313</v>
      </c>
      <c r="AS895" s="3">
        <v>21313</v>
      </c>
      <c r="AT895" s="3">
        <v>21313</v>
      </c>
      <c r="AU895" s="3">
        <v>21313</v>
      </c>
      <c r="AV895" s="3">
        <v>21313</v>
      </c>
      <c r="AW895" s="3">
        <v>21313</v>
      </c>
      <c r="AX895" s="3">
        <v>21313</v>
      </c>
      <c r="AY895" s="3">
        <v>21313</v>
      </c>
      <c r="AZ895" s="3">
        <v>21313</v>
      </c>
      <c r="BA895" s="3">
        <v>21313</v>
      </c>
      <c r="BB895" s="3">
        <v>21313</v>
      </c>
      <c r="BC895" s="3">
        <v>21313</v>
      </c>
      <c r="BD895" s="3">
        <f>SUM(AR895:BC895)</f>
        <v>255756</v>
      </c>
    </row>
    <row r="896" spans="1:56" ht="13.5" thickBot="1" x14ac:dyDescent="0.35">
      <c r="D896" s="13" t="s">
        <v>220</v>
      </c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14">
        <f t="shared" ref="R896:AC896" si="740">SUM(R893:R895)</f>
        <v>0</v>
      </c>
      <c r="S896" s="14">
        <f t="shared" si="740"/>
        <v>0</v>
      </c>
      <c r="T896" s="14">
        <f t="shared" si="740"/>
        <v>21521.33</v>
      </c>
      <c r="U896" s="14">
        <f t="shared" si="740"/>
        <v>21313</v>
      </c>
      <c r="V896" s="14">
        <f t="shared" si="740"/>
        <v>21313</v>
      </c>
      <c r="W896" s="14">
        <f t="shared" si="740"/>
        <v>21313</v>
      </c>
      <c r="X896" s="14">
        <f t="shared" si="740"/>
        <v>21313</v>
      </c>
      <c r="Y896" s="14">
        <f t="shared" si="740"/>
        <v>21313</v>
      </c>
      <c r="Z896" s="14">
        <f t="shared" si="740"/>
        <v>21313</v>
      </c>
      <c r="AA896" s="14">
        <f t="shared" si="740"/>
        <v>21313</v>
      </c>
      <c r="AB896" s="14">
        <f t="shared" si="740"/>
        <v>21313</v>
      </c>
      <c r="AC896" s="14">
        <f t="shared" si="740"/>
        <v>21313</v>
      </c>
      <c r="AD896" s="14">
        <f>SUM(AD893:AD895)</f>
        <v>213338.33</v>
      </c>
      <c r="AE896" s="14">
        <f>SUM(AE893:AE895)</f>
        <v>21563</v>
      </c>
      <c r="AF896" s="14">
        <f>SUM(AF893:AF895)</f>
        <v>21313</v>
      </c>
      <c r="AG896" s="14">
        <f t="shared" ref="AG896:AP896" si="741">SUM(AG893:AG895)</f>
        <v>21313</v>
      </c>
      <c r="AH896" s="14">
        <f t="shared" si="741"/>
        <v>21313</v>
      </c>
      <c r="AI896" s="14">
        <f t="shared" si="741"/>
        <v>21313</v>
      </c>
      <c r="AJ896" s="14">
        <f t="shared" si="741"/>
        <v>21313</v>
      </c>
      <c r="AK896" s="14">
        <f t="shared" si="741"/>
        <v>21313</v>
      </c>
      <c r="AL896" s="14">
        <f t="shared" si="741"/>
        <v>21313</v>
      </c>
      <c r="AM896" s="14">
        <f t="shared" si="741"/>
        <v>21313</v>
      </c>
      <c r="AN896" s="14">
        <f t="shared" si="741"/>
        <v>21313</v>
      </c>
      <c r="AO896" s="14">
        <f t="shared" si="741"/>
        <v>21313</v>
      </c>
      <c r="AP896" s="14">
        <f t="shared" si="741"/>
        <v>21313</v>
      </c>
      <c r="AQ896" s="22">
        <f>SUM(AQ893:AQ895)</f>
        <v>256006</v>
      </c>
      <c r="AR896" s="22">
        <f t="shared" ref="AR896:BD896" si="742">SUM(AR893:AR895)</f>
        <v>21563</v>
      </c>
      <c r="AS896" s="22">
        <f t="shared" si="742"/>
        <v>21313</v>
      </c>
      <c r="AT896" s="22">
        <f t="shared" si="742"/>
        <v>21313</v>
      </c>
      <c r="AU896" s="22">
        <f t="shared" si="742"/>
        <v>21313</v>
      </c>
      <c r="AV896" s="22">
        <f t="shared" si="742"/>
        <v>21313</v>
      </c>
      <c r="AW896" s="22">
        <f t="shared" si="742"/>
        <v>21313</v>
      </c>
      <c r="AX896" s="22">
        <f t="shared" si="742"/>
        <v>21313</v>
      </c>
      <c r="AY896" s="22">
        <f t="shared" si="742"/>
        <v>21313</v>
      </c>
      <c r="AZ896" s="22">
        <f t="shared" si="742"/>
        <v>21313</v>
      </c>
      <c r="BA896" s="22">
        <f t="shared" si="742"/>
        <v>21313</v>
      </c>
      <c r="BB896" s="22">
        <f t="shared" si="742"/>
        <v>21313</v>
      </c>
      <c r="BC896" s="22">
        <f t="shared" si="742"/>
        <v>21313</v>
      </c>
      <c r="BD896" s="22">
        <f t="shared" si="742"/>
        <v>256006</v>
      </c>
    </row>
    <row r="897" spans="1:56" x14ac:dyDescent="0.3">
      <c r="D897" s="15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</row>
    <row r="898" spans="1:56" ht="15.5" x14ac:dyDescent="0.35">
      <c r="B898" s="20">
        <f>B892+1</f>
        <v>109</v>
      </c>
      <c r="C898" s="1" t="s">
        <v>14</v>
      </c>
      <c r="D898" s="25" t="s">
        <v>418</v>
      </c>
    </row>
    <row r="899" spans="1:56" x14ac:dyDescent="0.3">
      <c r="D899" s="8" t="s">
        <v>8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12">
        <f>SUM(R899:AC899)</f>
        <v>0</v>
      </c>
      <c r="AE899" s="12">
        <v>0</v>
      </c>
      <c r="AF899" s="12">
        <v>0</v>
      </c>
      <c r="AG899" s="12">
        <v>0</v>
      </c>
      <c r="AH899" s="12">
        <v>0</v>
      </c>
      <c r="AI899" s="12">
        <v>0</v>
      </c>
      <c r="AJ899" s="12">
        <v>0</v>
      </c>
      <c r="AK899" s="12">
        <v>0</v>
      </c>
      <c r="AL899" s="12">
        <v>0</v>
      </c>
      <c r="AM899" s="12">
        <v>0</v>
      </c>
      <c r="AN899" s="12">
        <v>0</v>
      </c>
      <c r="AO899" s="12">
        <v>0</v>
      </c>
      <c r="AP899" s="12">
        <v>0</v>
      </c>
      <c r="AQ899" s="3">
        <f>SUM(AE899:AP899)</f>
        <v>0</v>
      </c>
      <c r="AR899" s="3">
        <v>0</v>
      </c>
      <c r="AS899" s="3">
        <v>0</v>
      </c>
      <c r="AT899" s="3">
        <v>0</v>
      </c>
      <c r="AU899" s="3">
        <v>0</v>
      </c>
      <c r="AV899" s="3">
        <v>0</v>
      </c>
      <c r="AW899" s="3">
        <v>0</v>
      </c>
      <c r="AX899" s="3">
        <v>0</v>
      </c>
      <c r="AY899" s="3">
        <v>0</v>
      </c>
      <c r="AZ899" s="3">
        <v>0</v>
      </c>
      <c r="BA899" s="3">
        <v>0</v>
      </c>
      <c r="BB899" s="3">
        <v>0</v>
      </c>
      <c r="BC899" s="3">
        <v>0</v>
      </c>
      <c r="BD899" s="3">
        <f>SUM(AR899:BC899)</f>
        <v>0</v>
      </c>
    </row>
    <row r="900" spans="1:56" x14ac:dyDescent="0.3">
      <c r="D900" s="8" t="s">
        <v>9</v>
      </c>
      <c r="R900" s="11"/>
      <c r="T900" s="11">
        <v>208.33</v>
      </c>
      <c r="AD900" s="12">
        <f>SUM(R900:AC900)</f>
        <v>208.33</v>
      </c>
      <c r="AE900" s="11">
        <v>250</v>
      </c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3">
        <f>SUM(AE900:AP900)</f>
        <v>250</v>
      </c>
      <c r="AR900" s="3">
        <v>250</v>
      </c>
      <c r="AS900" s="3">
        <v>0</v>
      </c>
      <c r="AT900" s="3">
        <v>0</v>
      </c>
      <c r="AU900" s="3">
        <v>0</v>
      </c>
      <c r="AV900" s="3">
        <v>0</v>
      </c>
      <c r="AW900" s="3">
        <v>0</v>
      </c>
      <c r="AX900" s="3">
        <v>0</v>
      </c>
      <c r="AY900" s="3">
        <v>0</v>
      </c>
      <c r="AZ900" s="3">
        <v>0</v>
      </c>
      <c r="BA900" s="3">
        <v>0</v>
      </c>
      <c r="BB900" s="3">
        <v>0</v>
      </c>
      <c r="BC900" s="3">
        <v>0</v>
      </c>
      <c r="BD900" s="3">
        <f>SUM(AR900:BC900)</f>
        <v>250</v>
      </c>
    </row>
    <row r="901" spans="1:56" ht="13.5" thickBot="1" x14ac:dyDescent="0.35">
      <c r="A901" t="s">
        <v>419</v>
      </c>
      <c r="D901" s="8" t="s">
        <v>10</v>
      </c>
      <c r="R901" s="12">
        <v>0</v>
      </c>
      <c r="S901" s="12">
        <v>0</v>
      </c>
      <c r="T901" s="12">
        <v>21313</v>
      </c>
      <c r="U901" s="12">
        <v>21313</v>
      </c>
      <c r="V901" s="12">
        <v>21313</v>
      </c>
      <c r="W901" s="12">
        <v>21313</v>
      </c>
      <c r="X901" s="12">
        <v>21313</v>
      </c>
      <c r="Y901" s="12">
        <v>21313</v>
      </c>
      <c r="Z901" s="12">
        <v>21313</v>
      </c>
      <c r="AA901" s="12">
        <v>21313</v>
      </c>
      <c r="AB901" s="12">
        <v>21313</v>
      </c>
      <c r="AC901" s="12">
        <v>21313</v>
      </c>
      <c r="AD901" s="12">
        <f>SUM(R901:AC901)</f>
        <v>213130</v>
      </c>
      <c r="AE901" s="12">
        <v>21313</v>
      </c>
      <c r="AF901" s="12">
        <v>21313</v>
      </c>
      <c r="AG901" s="12">
        <v>21313</v>
      </c>
      <c r="AH901" s="12">
        <v>21313</v>
      </c>
      <c r="AI901" s="12">
        <v>21313</v>
      </c>
      <c r="AJ901" s="12">
        <v>21313</v>
      </c>
      <c r="AK901" s="12">
        <v>21313</v>
      </c>
      <c r="AL901" s="12">
        <v>21313</v>
      </c>
      <c r="AM901" s="12">
        <v>21313</v>
      </c>
      <c r="AN901" s="12">
        <v>21313</v>
      </c>
      <c r="AO901" s="12">
        <v>21313</v>
      </c>
      <c r="AP901" s="12">
        <v>21313</v>
      </c>
      <c r="AQ901" s="3">
        <f>SUM(AE901:AP901)</f>
        <v>255756</v>
      </c>
      <c r="AR901" s="3">
        <v>21313</v>
      </c>
      <c r="AS901" s="3">
        <v>21313</v>
      </c>
      <c r="AT901" s="3">
        <v>21313</v>
      </c>
      <c r="AU901" s="3">
        <v>21313</v>
      </c>
      <c r="AV901" s="3">
        <v>21313</v>
      </c>
      <c r="AW901" s="3">
        <v>21313</v>
      </c>
      <c r="AX901" s="3">
        <v>21313</v>
      </c>
      <c r="AY901" s="3">
        <v>21313</v>
      </c>
      <c r="AZ901" s="3">
        <v>21313</v>
      </c>
      <c r="BA901" s="3">
        <v>21313</v>
      </c>
      <c r="BB901" s="3">
        <v>21313</v>
      </c>
      <c r="BC901" s="3">
        <v>21313</v>
      </c>
      <c r="BD901" s="3">
        <f>SUM(AR901:BC901)</f>
        <v>255756</v>
      </c>
    </row>
    <row r="902" spans="1:56" ht="13.5" thickBot="1" x14ac:dyDescent="0.35">
      <c r="D902" s="13" t="s">
        <v>223</v>
      </c>
      <c r="R902" s="14">
        <f t="shared" ref="R902:AC902" si="743">SUM(R899:R901)</f>
        <v>0</v>
      </c>
      <c r="S902" s="14">
        <f t="shared" si="743"/>
        <v>0</v>
      </c>
      <c r="T902" s="14">
        <f t="shared" si="743"/>
        <v>21521.33</v>
      </c>
      <c r="U902" s="14">
        <f t="shared" si="743"/>
        <v>21313</v>
      </c>
      <c r="V902" s="14">
        <f t="shared" si="743"/>
        <v>21313</v>
      </c>
      <c r="W902" s="14">
        <f t="shared" si="743"/>
        <v>21313</v>
      </c>
      <c r="X902" s="14">
        <f t="shared" si="743"/>
        <v>21313</v>
      </c>
      <c r="Y902" s="14">
        <f t="shared" si="743"/>
        <v>21313</v>
      </c>
      <c r="Z902" s="14">
        <f t="shared" si="743"/>
        <v>21313</v>
      </c>
      <c r="AA902" s="14">
        <f t="shared" si="743"/>
        <v>21313</v>
      </c>
      <c r="AB902" s="14">
        <f t="shared" si="743"/>
        <v>21313</v>
      </c>
      <c r="AC902" s="14">
        <f t="shared" si="743"/>
        <v>21313</v>
      </c>
      <c r="AD902" s="14">
        <f>SUM(AD899:AD901)</f>
        <v>213338.33</v>
      </c>
      <c r="AE902" s="14">
        <f>SUM(AE899:AE901)</f>
        <v>21563</v>
      </c>
      <c r="AF902" s="14">
        <f>SUM(AF899:AF901)</f>
        <v>21313</v>
      </c>
      <c r="AG902" s="14">
        <f t="shared" ref="AG902:AP902" si="744">SUM(AG899:AG901)</f>
        <v>21313</v>
      </c>
      <c r="AH902" s="14">
        <f t="shared" si="744"/>
        <v>21313</v>
      </c>
      <c r="AI902" s="14">
        <f t="shared" si="744"/>
        <v>21313</v>
      </c>
      <c r="AJ902" s="14">
        <f t="shared" si="744"/>
        <v>21313</v>
      </c>
      <c r="AK902" s="14">
        <f t="shared" si="744"/>
        <v>21313</v>
      </c>
      <c r="AL902" s="14">
        <f t="shared" si="744"/>
        <v>21313</v>
      </c>
      <c r="AM902" s="14">
        <f t="shared" si="744"/>
        <v>21313</v>
      </c>
      <c r="AN902" s="14">
        <f t="shared" si="744"/>
        <v>21313</v>
      </c>
      <c r="AO902" s="14">
        <f t="shared" si="744"/>
        <v>21313</v>
      </c>
      <c r="AP902" s="14">
        <f t="shared" si="744"/>
        <v>21313</v>
      </c>
      <c r="AQ902" s="22">
        <f>SUM(AQ899:AQ901)</f>
        <v>256006</v>
      </c>
      <c r="AR902" s="22">
        <f t="shared" ref="AR902:BD902" si="745">SUM(AR899:AR901)</f>
        <v>21563</v>
      </c>
      <c r="AS902" s="22">
        <f t="shared" si="745"/>
        <v>21313</v>
      </c>
      <c r="AT902" s="22">
        <f t="shared" si="745"/>
        <v>21313</v>
      </c>
      <c r="AU902" s="22">
        <f t="shared" si="745"/>
        <v>21313</v>
      </c>
      <c r="AV902" s="22">
        <f t="shared" si="745"/>
        <v>21313</v>
      </c>
      <c r="AW902" s="22">
        <f t="shared" si="745"/>
        <v>21313</v>
      </c>
      <c r="AX902" s="22">
        <f t="shared" si="745"/>
        <v>21313</v>
      </c>
      <c r="AY902" s="22">
        <f t="shared" si="745"/>
        <v>21313</v>
      </c>
      <c r="AZ902" s="22">
        <f t="shared" si="745"/>
        <v>21313</v>
      </c>
      <c r="BA902" s="22">
        <f t="shared" si="745"/>
        <v>21313</v>
      </c>
      <c r="BB902" s="22">
        <f t="shared" si="745"/>
        <v>21313</v>
      </c>
      <c r="BC902" s="22">
        <f t="shared" si="745"/>
        <v>21313</v>
      </c>
      <c r="BD902" s="22">
        <f t="shared" si="745"/>
        <v>256006</v>
      </c>
    </row>
    <row r="903" spans="1:56" x14ac:dyDescent="0.3">
      <c r="D903" s="15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</row>
    <row r="904" spans="1:56" ht="15.5" x14ac:dyDescent="0.35">
      <c r="B904" s="20">
        <f>B898+1</f>
        <v>110</v>
      </c>
      <c r="C904" s="1" t="s">
        <v>14</v>
      </c>
      <c r="D904" s="25" t="s">
        <v>420</v>
      </c>
    </row>
    <row r="905" spans="1:56" x14ac:dyDescent="0.3">
      <c r="D905" s="8" t="s">
        <v>8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12">
        <f>SUM(R905:AC905)</f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0</v>
      </c>
      <c r="AJ905" s="12">
        <v>0</v>
      </c>
      <c r="AK905" s="12">
        <v>0</v>
      </c>
      <c r="AL905" s="12">
        <v>0</v>
      </c>
      <c r="AM905" s="12">
        <v>0</v>
      </c>
      <c r="AN905" s="12">
        <v>0</v>
      </c>
      <c r="AO905" s="12">
        <v>0</v>
      </c>
      <c r="AP905" s="12">
        <v>0</v>
      </c>
      <c r="AQ905" s="3">
        <f>SUM(AE905:AP905)</f>
        <v>0</v>
      </c>
      <c r="AR905" s="3">
        <v>0</v>
      </c>
      <c r="AS905" s="3">
        <v>0</v>
      </c>
      <c r="AT905" s="3">
        <v>0</v>
      </c>
      <c r="AU905" s="3">
        <v>0</v>
      </c>
      <c r="AV905" s="3">
        <v>0</v>
      </c>
      <c r="AW905" s="3">
        <v>0</v>
      </c>
      <c r="AX905" s="3">
        <v>0</v>
      </c>
      <c r="AY905" s="3">
        <v>0</v>
      </c>
      <c r="AZ905" s="3">
        <v>0</v>
      </c>
      <c r="BA905" s="3">
        <v>0</v>
      </c>
      <c r="BB905" s="3">
        <v>0</v>
      </c>
      <c r="BC905" s="3">
        <v>0</v>
      </c>
      <c r="BD905" s="3">
        <f>SUM(AR905:BC905)</f>
        <v>0</v>
      </c>
    </row>
    <row r="906" spans="1:56" x14ac:dyDescent="0.3">
      <c r="D906" s="8" t="s">
        <v>9</v>
      </c>
      <c r="R906" s="11"/>
      <c r="T906" s="11"/>
      <c r="W906" s="11">
        <v>145.83000000000001</v>
      </c>
      <c r="AD906" s="12">
        <f>SUM(R906:AC906)</f>
        <v>145.83000000000001</v>
      </c>
      <c r="AE906" s="11">
        <v>250</v>
      </c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3">
        <f>SUM(AE906:AP906)</f>
        <v>250</v>
      </c>
      <c r="AR906" s="3">
        <v>250</v>
      </c>
      <c r="AS906" s="3">
        <v>0</v>
      </c>
      <c r="AT906" s="3">
        <v>0</v>
      </c>
      <c r="AU906" s="3">
        <v>0</v>
      </c>
      <c r="AV906" s="3">
        <v>0</v>
      </c>
      <c r="AW906" s="3">
        <v>0</v>
      </c>
      <c r="AX906" s="3">
        <v>0</v>
      </c>
      <c r="AY906" s="3">
        <v>0</v>
      </c>
      <c r="AZ906" s="3">
        <v>0</v>
      </c>
      <c r="BA906" s="3">
        <v>0</v>
      </c>
      <c r="BB906" s="3">
        <v>0</v>
      </c>
      <c r="BC906" s="3">
        <v>0</v>
      </c>
      <c r="BD906" s="3">
        <f>SUM(AR906:BC906)</f>
        <v>250</v>
      </c>
    </row>
    <row r="907" spans="1:56" ht="13.5" thickBot="1" x14ac:dyDescent="0.35">
      <c r="A907" t="s">
        <v>421</v>
      </c>
      <c r="D907" s="8" t="s">
        <v>10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12">
        <f>SUM(R907:AC907)</f>
        <v>0</v>
      </c>
      <c r="AE907" s="12">
        <f>8181.82+69302.75</f>
        <v>77484.570000000007</v>
      </c>
      <c r="AF907" s="12">
        <f>8181.82+69302.75</f>
        <v>77484.570000000007</v>
      </c>
      <c r="AG907" s="12">
        <f>8181.82+69302.75</f>
        <v>77484.570000000007</v>
      </c>
      <c r="AH907" s="12">
        <f>8181.82+69302.75</f>
        <v>77484.570000000007</v>
      </c>
      <c r="AI907" s="12">
        <f>8181.82+69302.75</f>
        <v>77484.570000000007</v>
      </c>
      <c r="AJ907" s="12">
        <f t="shared" ref="AJ907:AO907" si="746">8181.82+57752.29</f>
        <v>65934.11</v>
      </c>
      <c r="AK907" s="12">
        <f t="shared" si="746"/>
        <v>65934.11</v>
      </c>
      <c r="AL907" s="12">
        <f t="shared" si="746"/>
        <v>65934.11</v>
      </c>
      <c r="AM907" s="12">
        <f t="shared" si="746"/>
        <v>65934.11</v>
      </c>
      <c r="AN907" s="12">
        <f t="shared" si="746"/>
        <v>65934.11</v>
      </c>
      <c r="AO907" s="12">
        <f t="shared" si="746"/>
        <v>65934.11</v>
      </c>
      <c r="AP907" s="12">
        <f>7916.67+57238.54</f>
        <v>65155.21</v>
      </c>
      <c r="AQ907" s="3">
        <f>SUM(AE907:AP907)</f>
        <v>848182.72</v>
      </c>
      <c r="AR907" s="3">
        <f>7916.67+57238.54</f>
        <v>65155.21</v>
      </c>
      <c r="AS907" s="3">
        <f>7916.67+57238.54</f>
        <v>65155.21</v>
      </c>
      <c r="AT907" s="3">
        <f t="shared" ref="AT907:BB907" si="747">7916.67+57238.54</f>
        <v>65155.21</v>
      </c>
      <c r="AU907" s="3">
        <f t="shared" si="747"/>
        <v>65155.21</v>
      </c>
      <c r="AV907" s="3">
        <f t="shared" si="747"/>
        <v>65155.21</v>
      </c>
      <c r="AW907" s="3">
        <f t="shared" si="747"/>
        <v>65155.21</v>
      </c>
      <c r="AX907" s="3">
        <f t="shared" si="747"/>
        <v>65155.21</v>
      </c>
      <c r="AY907" s="3">
        <f t="shared" si="747"/>
        <v>65155.21</v>
      </c>
      <c r="AZ907" s="3">
        <f t="shared" si="747"/>
        <v>65155.21</v>
      </c>
      <c r="BA907" s="3">
        <f t="shared" si="747"/>
        <v>65155.21</v>
      </c>
      <c r="BB907" s="3">
        <f t="shared" si="747"/>
        <v>65155.21</v>
      </c>
      <c r="BC907" s="3">
        <f>8333.33+56696.25</f>
        <v>65029.58</v>
      </c>
      <c r="BD907" s="3">
        <f>SUM(AR907:BC907)</f>
        <v>781736.8899999999</v>
      </c>
    </row>
    <row r="908" spans="1:56" ht="13.5" thickBot="1" x14ac:dyDescent="0.35">
      <c r="D908" s="13" t="s">
        <v>422</v>
      </c>
      <c r="R908" s="14">
        <f t="shared" ref="R908:AC908" si="748">SUM(R905:R907)</f>
        <v>0</v>
      </c>
      <c r="S908" s="14">
        <f t="shared" si="748"/>
        <v>0</v>
      </c>
      <c r="T908" s="14">
        <f t="shared" si="748"/>
        <v>0</v>
      </c>
      <c r="U908" s="14">
        <f t="shared" si="748"/>
        <v>0</v>
      </c>
      <c r="V908" s="14">
        <f t="shared" si="748"/>
        <v>0</v>
      </c>
      <c r="W908" s="14">
        <f t="shared" si="748"/>
        <v>145.83000000000001</v>
      </c>
      <c r="X908" s="14">
        <f t="shared" si="748"/>
        <v>0</v>
      </c>
      <c r="Y908" s="14">
        <f t="shared" si="748"/>
        <v>0</v>
      </c>
      <c r="Z908" s="14">
        <f t="shared" si="748"/>
        <v>0</v>
      </c>
      <c r="AA908" s="14">
        <f t="shared" si="748"/>
        <v>0</v>
      </c>
      <c r="AB908" s="14">
        <f t="shared" si="748"/>
        <v>0</v>
      </c>
      <c r="AC908" s="14">
        <f t="shared" si="748"/>
        <v>0</v>
      </c>
      <c r="AD908" s="14">
        <f>SUM(AD905:AD907)</f>
        <v>145.83000000000001</v>
      </c>
      <c r="AE908" s="14">
        <f>SUM(AE905:AE907)</f>
        <v>77734.570000000007</v>
      </c>
      <c r="AF908" s="14">
        <f>SUM(AF905:AF907)</f>
        <v>77484.570000000007</v>
      </c>
      <c r="AG908" s="14">
        <f t="shared" ref="AG908:AP908" si="749">SUM(AG905:AG907)</f>
        <v>77484.570000000007</v>
      </c>
      <c r="AH908" s="14">
        <f t="shared" si="749"/>
        <v>77484.570000000007</v>
      </c>
      <c r="AI908" s="14">
        <f t="shared" si="749"/>
        <v>77484.570000000007</v>
      </c>
      <c r="AJ908" s="14">
        <f t="shared" si="749"/>
        <v>65934.11</v>
      </c>
      <c r="AK908" s="14">
        <f t="shared" si="749"/>
        <v>65934.11</v>
      </c>
      <c r="AL908" s="14">
        <f t="shared" si="749"/>
        <v>65934.11</v>
      </c>
      <c r="AM908" s="14">
        <f t="shared" si="749"/>
        <v>65934.11</v>
      </c>
      <c r="AN908" s="14">
        <f t="shared" si="749"/>
        <v>65934.11</v>
      </c>
      <c r="AO908" s="14">
        <f t="shared" si="749"/>
        <v>65934.11</v>
      </c>
      <c r="AP908" s="14">
        <f t="shared" si="749"/>
        <v>65155.21</v>
      </c>
      <c r="AQ908" s="22">
        <f>SUM(AQ905:AQ907)</f>
        <v>848432.72</v>
      </c>
      <c r="AR908" s="22">
        <f t="shared" ref="AR908:BD908" si="750">SUM(AR905:AR907)</f>
        <v>65405.21</v>
      </c>
      <c r="AS908" s="22">
        <f t="shared" si="750"/>
        <v>65155.21</v>
      </c>
      <c r="AT908" s="22">
        <f t="shared" si="750"/>
        <v>65155.21</v>
      </c>
      <c r="AU908" s="22">
        <f t="shared" si="750"/>
        <v>65155.21</v>
      </c>
      <c r="AV908" s="22">
        <f t="shared" si="750"/>
        <v>65155.21</v>
      </c>
      <c r="AW908" s="22">
        <f t="shared" si="750"/>
        <v>65155.21</v>
      </c>
      <c r="AX908" s="22">
        <f t="shared" si="750"/>
        <v>65155.21</v>
      </c>
      <c r="AY908" s="22">
        <f t="shared" si="750"/>
        <v>65155.21</v>
      </c>
      <c r="AZ908" s="22">
        <f t="shared" si="750"/>
        <v>65155.21</v>
      </c>
      <c r="BA908" s="22">
        <f t="shared" si="750"/>
        <v>65155.21</v>
      </c>
      <c r="BB908" s="22">
        <f t="shared" si="750"/>
        <v>65155.21</v>
      </c>
      <c r="BC908" s="22">
        <f t="shared" si="750"/>
        <v>65029.58</v>
      </c>
      <c r="BD908" s="22">
        <f t="shared" si="750"/>
        <v>781986.8899999999</v>
      </c>
    </row>
    <row r="909" spans="1:56" x14ac:dyDescent="0.3">
      <c r="D909" s="15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</row>
    <row r="910" spans="1:56" ht="15.5" x14ac:dyDescent="0.35">
      <c r="B910" s="20">
        <f>B904+1</f>
        <v>111</v>
      </c>
      <c r="C910" s="1" t="s">
        <v>14</v>
      </c>
      <c r="D910" s="25" t="s">
        <v>423</v>
      </c>
    </row>
    <row r="911" spans="1:56" x14ac:dyDescent="0.3">
      <c r="D911" s="8" t="s">
        <v>8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12">
        <f>SUM(R911:AC911)</f>
        <v>0</v>
      </c>
      <c r="AE911" s="12">
        <v>0</v>
      </c>
      <c r="AF911" s="12">
        <v>0</v>
      </c>
      <c r="AG911" s="12">
        <v>0</v>
      </c>
      <c r="AH911" s="12">
        <v>0</v>
      </c>
      <c r="AI911" s="12">
        <v>0</v>
      </c>
      <c r="AJ911" s="12">
        <v>0</v>
      </c>
      <c r="AK911" s="12">
        <v>0</v>
      </c>
      <c r="AL911" s="12">
        <v>0</v>
      </c>
      <c r="AM911" s="12">
        <v>0</v>
      </c>
      <c r="AN911" s="12">
        <v>0</v>
      </c>
      <c r="AO911" s="12">
        <v>0</v>
      </c>
      <c r="AP911" s="12">
        <v>0</v>
      </c>
      <c r="AQ911" s="3">
        <f>SUM(AE911:AP911)</f>
        <v>0</v>
      </c>
      <c r="AR911" s="3">
        <v>0</v>
      </c>
      <c r="AS911" s="3">
        <v>0</v>
      </c>
      <c r="AT911" s="3">
        <v>0</v>
      </c>
      <c r="AU911" s="3">
        <v>0</v>
      </c>
      <c r="AV911" s="3">
        <v>0</v>
      </c>
      <c r="AW911" s="3">
        <v>0</v>
      </c>
      <c r="AX911" s="3">
        <v>0</v>
      </c>
      <c r="AY911" s="3">
        <v>0</v>
      </c>
      <c r="AZ911" s="3">
        <v>0</v>
      </c>
      <c r="BA911" s="3">
        <v>0</v>
      </c>
      <c r="BB911" s="3">
        <v>0</v>
      </c>
      <c r="BC911" s="3">
        <v>0</v>
      </c>
      <c r="BD911" s="3">
        <f>SUM(AR911:BC911)</f>
        <v>0</v>
      </c>
    </row>
    <row r="912" spans="1:56" x14ac:dyDescent="0.3">
      <c r="D912" s="8" t="s">
        <v>9</v>
      </c>
      <c r="R912" s="11"/>
      <c r="T912" s="11"/>
      <c r="W912" s="11">
        <v>145.83000000000001</v>
      </c>
      <c r="AD912" s="12">
        <f>SUM(R912:AC912)</f>
        <v>145.83000000000001</v>
      </c>
      <c r="AE912" s="11">
        <v>250</v>
      </c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3">
        <f>SUM(AE912:AP912)</f>
        <v>250</v>
      </c>
      <c r="AR912" s="3">
        <v>250</v>
      </c>
      <c r="AS912" s="3">
        <v>0</v>
      </c>
      <c r="AT912" s="3">
        <v>0</v>
      </c>
      <c r="AU912" s="3">
        <v>0</v>
      </c>
      <c r="AV912" s="3">
        <v>0</v>
      </c>
      <c r="AW912" s="3">
        <v>0</v>
      </c>
      <c r="AX912" s="3">
        <v>0</v>
      </c>
      <c r="AY912" s="3">
        <v>0</v>
      </c>
      <c r="AZ912" s="3">
        <v>0</v>
      </c>
      <c r="BA912" s="3">
        <v>0</v>
      </c>
      <c r="BB912" s="3">
        <v>0</v>
      </c>
      <c r="BC912" s="3">
        <v>0</v>
      </c>
      <c r="BD912" s="3">
        <f>SUM(AR912:BC912)</f>
        <v>250</v>
      </c>
    </row>
    <row r="913" spans="1:56" ht="13.5" thickBot="1" x14ac:dyDescent="0.35">
      <c r="A913" t="s">
        <v>424</v>
      </c>
      <c r="D913" s="8" t="s">
        <v>10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81600.67</v>
      </c>
      <c r="X913" s="12">
        <v>45843.23</v>
      </c>
      <c r="Y913" s="12">
        <v>45843.23</v>
      </c>
      <c r="Z913" s="12">
        <v>45843.23</v>
      </c>
      <c r="AA913" s="12">
        <v>45843.23</v>
      </c>
      <c r="AB913" s="12">
        <v>45843.23</v>
      </c>
      <c r="AC913" s="12">
        <v>45843.22</v>
      </c>
      <c r="AD913" s="12">
        <f>SUM(R913:AC913)</f>
        <v>356660.04000000004</v>
      </c>
      <c r="AE913" s="12">
        <v>69283.59</v>
      </c>
      <c r="AF913" s="12">
        <v>69283.59</v>
      </c>
      <c r="AG913" s="12">
        <v>69283.59</v>
      </c>
      <c r="AH913" s="12">
        <v>69283.59</v>
      </c>
      <c r="AI913" s="12">
        <v>69283.59</v>
      </c>
      <c r="AJ913" s="12">
        <v>69283.61</v>
      </c>
      <c r="AK913" s="12">
        <v>69110.679999999993</v>
      </c>
      <c r="AL913" s="12">
        <v>69110.679999999993</v>
      </c>
      <c r="AM913" s="12">
        <v>69110.679999999993</v>
      </c>
      <c r="AN913" s="12">
        <v>69110.679999999993</v>
      </c>
      <c r="AO913" s="12">
        <v>69110.679999999993</v>
      </c>
      <c r="AP913" s="12">
        <v>69110.66</v>
      </c>
      <c r="AQ913" s="3">
        <f>SUM(AE913:AP913)</f>
        <v>830365.61999999976</v>
      </c>
      <c r="AR913" s="3">
        <v>92378.13</v>
      </c>
      <c r="AS913" s="3">
        <v>92378.13</v>
      </c>
      <c r="AT913" s="3">
        <v>92378.13</v>
      </c>
      <c r="AU913" s="3">
        <v>92378.13</v>
      </c>
      <c r="AV913" s="3">
        <v>92378.13</v>
      </c>
      <c r="AW913" s="3">
        <v>92378.1</v>
      </c>
      <c r="AX913" s="3">
        <v>92378.13</v>
      </c>
      <c r="AY913" s="3">
        <v>92378.13</v>
      </c>
      <c r="AZ913" s="3">
        <v>92378.13</v>
      </c>
      <c r="BA913" s="3">
        <v>92378.13</v>
      </c>
      <c r="BB913" s="3">
        <v>92378.13</v>
      </c>
      <c r="BC913" s="3">
        <v>92378.1</v>
      </c>
      <c r="BD913" s="3">
        <f>SUM(AR913:BC913)</f>
        <v>1108537.5</v>
      </c>
    </row>
    <row r="914" spans="1:56" ht="13.5" thickBot="1" x14ac:dyDescent="0.35">
      <c r="D914" s="13" t="s">
        <v>243</v>
      </c>
      <c r="R914" s="14">
        <f t="shared" ref="R914:AC914" si="751">SUM(R911:R913)</f>
        <v>0</v>
      </c>
      <c r="S914" s="14">
        <f t="shared" si="751"/>
        <v>0</v>
      </c>
      <c r="T914" s="14">
        <f t="shared" si="751"/>
        <v>0</v>
      </c>
      <c r="U914" s="14">
        <f t="shared" si="751"/>
        <v>0</v>
      </c>
      <c r="V914" s="14">
        <f t="shared" si="751"/>
        <v>0</v>
      </c>
      <c r="W914" s="14">
        <f t="shared" si="751"/>
        <v>81746.5</v>
      </c>
      <c r="X914" s="14">
        <f t="shared" si="751"/>
        <v>45843.23</v>
      </c>
      <c r="Y914" s="14">
        <f t="shared" si="751"/>
        <v>45843.23</v>
      </c>
      <c r="Z914" s="14">
        <f t="shared" si="751"/>
        <v>45843.23</v>
      </c>
      <c r="AA914" s="14">
        <f t="shared" si="751"/>
        <v>45843.23</v>
      </c>
      <c r="AB914" s="14">
        <f t="shared" si="751"/>
        <v>45843.23</v>
      </c>
      <c r="AC914" s="14">
        <f t="shared" si="751"/>
        <v>45843.22</v>
      </c>
      <c r="AD914" s="14">
        <f>SUM(AD911:AD913)</f>
        <v>356805.87000000005</v>
      </c>
      <c r="AE914" s="14">
        <f>SUM(AE911:AE913)</f>
        <v>69533.59</v>
      </c>
      <c r="AF914" s="14">
        <f>SUM(AF911:AF913)</f>
        <v>69283.59</v>
      </c>
      <c r="AG914" s="14">
        <f t="shared" ref="AG914:AP914" si="752">SUM(AG911:AG913)</f>
        <v>69283.59</v>
      </c>
      <c r="AH914" s="14">
        <f t="shared" si="752"/>
        <v>69283.59</v>
      </c>
      <c r="AI914" s="14">
        <f t="shared" si="752"/>
        <v>69283.59</v>
      </c>
      <c r="AJ914" s="14">
        <f t="shared" si="752"/>
        <v>69283.61</v>
      </c>
      <c r="AK914" s="14">
        <f t="shared" si="752"/>
        <v>69110.679999999993</v>
      </c>
      <c r="AL914" s="14">
        <f t="shared" si="752"/>
        <v>69110.679999999993</v>
      </c>
      <c r="AM914" s="14">
        <f t="shared" si="752"/>
        <v>69110.679999999993</v>
      </c>
      <c r="AN914" s="14">
        <f t="shared" si="752"/>
        <v>69110.679999999993</v>
      </c>
      <c r="AO914" s="14">
        <f t="shared" si="752"/>
        <v>69110.679999999993</v>
      </c>
      <c r="AP914" s="14">
        <f t="shared" si="752"/>
        <v>69110.66</v>
      </c>
      <c r="AQ914" s="22">
        <f>SUM(AQ911:AQ913)</f>
        <v>830615.61999999976</v>
      </c>
      <c r="AR914" s="22">
        <f t="shared" ref="AR914:BD914" si="753">SUM(AR911:AR913)</f>
        <v>92628.13</v>
      </c>
      <c r="AS914" s="22">
        <f t="shared" si="753"/>
        <v>92378.13</v>
      </c>
      <c r="AT914" s="22">
        <f t="shared" si="753"/>
        <v>92378.13</v>
      </c>
      <c r="AU914" s="22">
        <f t="shared" si="753"/>
        <v>92378.13</v>
      </c>
      <c r="AV914" s="22">
        <f t="shared" si="753"/>
        <v>92378.13</v>
      </c>
      <c r="AW914" s="22">
        <f t="shared" si="753"/>
        <v>92378.1</v>
      </c>
      <c r="AX914" s="22">
        <f t="shared" si="753"/>
        <v>92378.13</v>
      </c>
      <c r="AY914" s="22">
        <f t="shared" si="753"/>
        <v>92378.13</v>
      </c>
      <c r="AZ914" s="22">
        <f t="shared" si="753"/>
        <v>92378.13</v>
      </c>
      <c r="BA914" s="22">
        <f t="shared" si="753"/>
        <v>92378.13</v>
      </c>
      <c r="BB914" s="22">
        <f t="shared" si="753"/>
        <v>92378.13</v>
      </c>
      <c r="BC914" s="22">
        <f t="shared" si="753"/>
        <v>92378.1</v>
      </c>
      <c r="BD914" s="22">
        <f t="shared" si="753"/>
        <v>1108787.5</v>
      </c>
    </row>
    <row r="915" spans="1:56" x14ac:dyDescent="0.3">
      <c r="D915" s="15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</row>
    <row r="916" spans="1:56" ht="15.5" x14ac:dyDescent="0.35">
      <c r="B916" s="20">
        <f>B910+1</f>
        <v>112</v>
      </c>
      <c r="C916" s="1" t="s">
        <v>14</v>
      </c>
      <c r="D916" s="25" t="s">
        <v>425</v>
      </c>
    </row>
    <row r="917" spans="1:56" x14ac:dyDescent="0.3">
      <c r="D917" s="8" t="s">
        <v>8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2774.55</v>
      </c>
      <c r="X917" s="12">
        <v>1387.27</v>
      </c>
      <c r="Y917" s="12">
        <v>1387.27</v>
      </c>
      <c r="Z917" s="12">
        <v>1387.27</v>
      </c>
      <c r="AA917" s="12">
        <v>1387.27</v>
      </c>
      <c r="AB917" s="12">
        <v>1387.27</v>
      </c>
      <c r="AC917" s="12">
        <v>1387.27</v>
      </c>
      <c r="AD917" s="12">
        <f>SUM(R917:AC917)</f>
        <v>11098.170000000002</v>
      </c>
      <c r="AE917" s="12">
        <v>1387.27</v>
      </c>
      <c r="AF917" s="12">
        <v>1387.27</v>
      </c>
      <c r="AG917" s="12">
        <v>1387.27</v>
      </c>
      <c r="AH917" s="12">
        <v>1387.27</v>
      </c>
      <c r="AI917" s="12">
        <v>1271.67</v>
      </c>
      <c r="AJ917" s="12">
        <v>1271.67</v>
      </c>
      <c r="AK917" s="12">
        <v>1271.67</v>
      </c>
      <c r="AL917" s="12">
        <v>1271.67</v>
      </c>
      <c r="AM917" s="12">
        <v>1271.67</v>
      </c>
      <c r="AN917" s="12">
        <v>1271.67</v>
      </c>
      <c r="AO917" s="12">
        <v>1271.67</v>
      </c>
      <c r="AP917" s="12">
        <v>1271.67</v>
      </c>
      <c r="AQ917" s="3">
        <f>SUM(AE917:AP917)</f>
        <v>15722.44</v>
      </c>
      <c r="AR917" s="3">
        <v>1271.67</v>
      </c>
      <c r="AS917" s="3">
        <v>1271.67</v>
      </c>
      <c r="AT917" s="3">
        <v>1271.67</v>
      </c>
      <c r="AU917" s="3">
        <v>1271.67</v>
      </c>
      <c r="AV917" s="3">
        <v>1261.25</v>
      </c>
      <c r="AW917" s="3">
        <v>1261.25</v>
      </c>
      <c r="AX917" s="3">
        <v>1261.25</v>
      </c>
      <c r="AY917" s="3">
        <v>1261.25</v>
      </c>
      <c r="AZ917" s="3">
        <v>1261.25</v>
      </c>
      <c r="BA917" s="3">
        <v>1261.25</v>
      </c>
      <c r="BB917" s="3">
        <v>1261.25</v>
      </c>
      <c r="BC917" s="3">
        <v>1261.25</v>
      </c>
      <c r="BD917" s="3">
        <f>SUM(AR917:BC917)</f>
        <v>15176.68</v>
      </c>
    </row>
    <row r="918" spans="1:56" x14ac:dyDescent="0.3">
      <c r="D918" s="8" t="s">
        <v>9</v>
      </c>
      <c r="R918" s="11"/>
      <c r="T918" s="11"/>
      <c r="W918" s="11">
        <v>145.83000000000001</v>
      </c>
      <c r="AD918" s="12">
        <f>SUM(R918:AC918)</f>
        <v>145.83000000000001</v>
      </c>
      <c r="AE918" s="11">
        <v>250</v>
      </c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3">
        <f>SUM(AE918:AP918)</f>
        <v>250</v>
      </c>
      <c r="AR918" s="3">
        <v>250</v>
      </c>
      <c r="AS918" s="3">
        <v>0</v>
      </c>
      <c r="AT918" s="3">
        <v>0</v>
      </c>
      <c r="AU918" s="3">
        <v>0</v>
      </c>
      <c r="AV918" s="3">
        <v>0</v>
      </c>
      <c r="AW918" s="3">
        <v>0</v>
      </c>
      <c r="AX918" s="3">
        <v>0</v>
      </c>
      <c r="AY918" s="3">
        <v>0</v>
      </c>
      <c r="AZ918" s="3">
        <v>0</v>
      </c>
      <c r="BA918" s="3">
        <v>0</v>
      </c>
      <c r="BB918" s="3">
        <v>0</v>
      </c>
      <c r="BC918" s="3">
        <v>0</v>
      </c>
      <c r="BD918" s="3">
        <f>SUM(AR918:BC918)</f>
        <v>250</v>
      </c>
    </row>
    <row r="919" spans="1:56" ht="13.5" thickBot="1" x14ac:dyDescent="0.35">
      <c r="A919" t="s">
        <v>426</v>
      </c>
      <c r="D919" s="8" t="s">
        <v>10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69900.78</v>
      </c>
      <c r="X919" s="12">
        <v>69900.78</v>
      </c>
      <c r="Y919" s="12">
        <v>69900.78</v>
      </c>
      <c r="Z919" s="12">
        <v>69900.78</v>
      </c>
      <c r="AA919" s="12">
        <v>69900.78</v>
      </c>
      <c r="AB919" s="12">
        <v>69900.75</v>
      </c>
      <c r="AC919" s="12">
        <v>69514.58</v>
      </c>
      <c r="AD919" s="12">
        <f>SUM(R919:AC919)</f>
        <v>488919.23000000004</v>
      </c>
      <c r="AE919" s="12">
        <v>69514.58</v>
      </c>
      <c r="AF919" s="12">
        <v>69514.58</v>
      </c>
      <c r="AG919" s="12">
        <v>69514.58</v>
      </c>
      <c r="AH919" s="12">
        <v>69514.58</v>
      </c>
      <c r="AI919" s="12">
        <v>69514.600000000006</v>
      </c>
      <c r="AJ919" s="12">
        <f>10416.67+69514.58</f>
        <v>79931.25</v>
      </c>
      <c r="AK919" s="12">
        <f t="shared" ref="AK919:AP919" si="754">10416.67+69514.58</f>
        <v>79931.25</v>
      </c>
      <c r="AL919" s="12">
        <f t="shared" si="754"/>
        <v>79931.25</v>
      </c>
      <c r="AM919" s="12">
        <f t="shared" si="754"/>
        <v>79931.25</v>
      </c>
      <c r="AN919" s="12">
        <f t="shared" si="754"/>
        <v>79931.25</v>
      </c>
      <c r="AO919" s="12">
        <f>10416.67+69514.6</f>
        <v>79931.27</v>
      </c>
      <c r="AP919" s="12">
        <f t="shared" si="754"/>
        <v>79931.25</v>
      </c>
      <c r="AQ919" s="3">
        <f>SUM(AE919:AP919)</f>
        <v>907091.69000000006</v>
      </c>
      <c r="AR919" s="3">
        <f>10416.67+69514.58</f>
        <v>79931.25</v>
      </c>
      <c r="AS919" s="3">
        <f t="shared" ref="AS919:AU919" si="755">10416.67+69514.58</f>
        <v>79931.25</v>
      </c>
      <c r="AT919" s="3">
        <f t="shared" si="755"/>
        <v>79931.25</v>
      </c>
      <c r="AU919" s="3">
        <f t="shared" si="755"/>
        <v>79931.25</v>
      </c>
      <c r="AV919" s="3">
        <f>10416.63+69514.6</f>
        <v>79931.23000000001</v>
      </c>
      <c r="AW919" s="3">
        <f>10833.33+68993.75</f>
        <v>79827.08</v>
      </c>
      <c r="AX919" s="3">
        <f t="shared" ref="AX919:BC919" si="756">10833.33+68993.75</f>
        <v>79827.08</v>
      </c>
      <c r="AY919" s="3">
        <f t="shared" si="756"/>
        <v>79827.08</v>
      </c>
      <c r="AZ919" s="3">
        <f t="shared" si="756"/>
        <v>79827.08</v>
      </c>
      <c r="BA919" s="3">
        <f t="shared" si="756"/>
        <v>79827.08</v>
      </c>
      <c r="BB919" s="3">
        <f t="shared" si="756"/>
        <v>79827.08</v>
      </c>
      <c r="BC919" s="3">
        <f t="shared" si="756"/>
        <v>79827.08</v>
      </c>
      <c r="BD919" s="3">
        <f>SUM(AR919:BC919)</f>
        <v>958445.7899999998</v>
      </c>
    </row>
    <row r="920" spans="1:56" ht="13.5" thickBot="1" x14ac:dyDescent="0.35">
      <c r="D920" s="13" t="s">
        <v>176</v>
      </c>
      <c r="R920" s="14">
        <f t="shared" ref="R920:AC920" si="757">SUM(R917:R919)</f>
        <v>0</v>
      </c>
      <c r="S920" s="14">
        <f t="shared" si="757"/>
        <v>0</v>
      </c>
      <c r="T920" s="14">
        <f t="shared" si="757"/>
        <v>0</v>
      </c>
      <c r="U920" s="14">
        <f t="shared" si="757"/>
        <v>0</v>
      </c>
      <c r="V920" s="14">
        <f t="shared" si="757"/>
        <v>0</v>
      </c>
      <c r="W920" s="14">
        <f t="shared" si="757"/>
        <v>72821.16</v>
      </c>
      <c r="X920" s="14">
        <f t="shared" si="757"/>
        <v>71288.05</v>
      </c>
      <c r="Y920" s="14">
        <f t="shared" si="757"/>
        <v>71288.05</v>
      </c>
      <c r="Z920" s="14">
        <f t="shared" si="757"/>
        <v>71288.05</v>
      </c>
      <c r="AA920" s="14">
        <f t="shared" si="757"/>
        <v>71288.05</v>
      </c>
      <c r="AB920" s="14">
        <f t="shared" si="757"/>
        <v>71288.02</v>
      </c>
      <c r="AC920" s="14">
        <f t="shared" si="757"/>
        <v>70901.850000000006</v>
      </c>
      <c r="AD920" s="14">
        <f>SUM(AD917:AD919)</f>
        <v>500163.23000000004</v>
      </c>
      <c r="AE920" s="14">
        <f>SUM(AE917:AE919)</f>
        <v>71151.850000000006</v>
      </c>
      <c r="AF920" s="14">
        <f>SUM(AF917:AF919)</f>
        <v>70901.850000000006</v>
      </c>
      <c r="AG920" s="14">
        <f t="shared" ref="AG920:AP920" si="758">SUM(AG917:AG919)</f>
        <v>70901.850000000006</v>
      </c>
      <c r="AH920" s="14">
        <f t="shared" si="758"/>
        <v>70901.850000000006</v>
      </c>
      <c r="AI920" s="14">
        <f t="shared" si="758"/>
        <v>70786.27</v>
      </c>
      <c r="AJ920" s="14">
        <f t="shared" si="758"/>
        <v>81202.92</v>
      </c>
      <c r="AK920" s="14">
        <f t="shared" si="758"/>
        <v>81202.92</v>
      </c>
      <c r="AL920" s="14">
        <f t="shared" si="758"/>
        <v>81202.92</v>
      </c>
      <c r="AM920" s="14">
        <f t="shared" si="758"/>
        <v>81202.92</v>
      </c>
      <c r="AN920" s="14">
        <f t="shared" si="758"/>
        <v>81202.92</v>
      </c>
      <c r="AO920" s="14">
        <f t="shared" si="758"/>
        <v>81202.94</v>
      </c>
      <c r="AP920" s="14">
        <f t="shared" si="758"/>
        <v>81202.92</v>
      </c>
      <c r="AQ920" s="22">
        <f>SUM(AQ917:AQ919)</f>
        <v>923064.13</v>
      </c>
      <c r="AR920" s="22">
        <f t="shared" ref="AR920:BD920" si="759">SUM(AR917:AR919)</f>
        <v>81452.92</v>
      </c>
      <c r="AS920" s="22">
        <f t="shared" si="759"/>
        <v>81202.92</v>
      </c>
      <c r="AT920" s="22">
        <f t="shared" si="759"/>
        <v>81202.92</v>
      </c>
      <c r="AU920" s="22">
        <f t="shared" si="759"/>
        <v>81202.92</v>
      </c>
      <c r="AV920" s="22">
        <f t="shared" si="759"/>
        <v>81192.48000000001</v>
      </c>
      <c r="AW920" s="22">
        <f t="shared" si="759"/>
        <v>81088.33</v>
      </c>
      <c r="AX920" s="22">
        <f t="shared" si="759"/>
        <v>81088.33</v>
      </c>
      <c r="AY920" s="22">
        <f t="shared" si="759"/>
        <v>81088.33</v>
      </c>
      <c r="AZ920" s="22">
        <f t="shared" si="759"/>
        <v>81088.33</v>
      </c>
      <c r="BA920" s="22">
        <f t="shared" si="759"/>
        <v>81088.33</v>
      </c>
      <c r="BB920" s="22">
        <f t="shared" si="759"/>
        <v>81088.33</v>
      </c>
      <c r="BC920" s="22">
        <f t="shared" si="759"/>
        <v>81088.33</v>
      </c>
      <c r="BD920" s="22">
        <f t="shared" si="759"/>
        <v>973872.46999999986</v>
      </c>
    </row>
    <row r="921" spans="1:56" x14ac:dyDescent="0.3">
      <c r="D921" s="15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</row>
    <row r="922" spans="1:56" ht="15.5" x14ac:dyDescent="0.35">
      <c r="B922" s="1">
        <f>B916+1</f>
        <v>113</v>
      </c>
      <c r="C922" s="1" t="s">
        <v>14</v>
      </c>
      <c r="D922" s="25" t="s">
        <v>427</v>
      </c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</row>
    <row r="923" spans="1:56" x14ac:dyDescent="0.3">
      <c r="D923" s="8" t="s">
        <v>8</v>
      </c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1">
        <v>3414.09</v>
      </c>
      <c r="AB923" s="11">
        <v>3414.09</v>
      </c>
      <c r="AC923" s="11">
        <v>3414.09</v>
      </c>
      <c r="AD923" s="12">
        <f>SUM(R923:AC923)</f>
        <v>10242.27</v>
      </c>
      <c r="AE923" s="11">
        <v>3414.09</v>
      </c>
      <c r="AF923" s="11">
        <v>3414.09</v>
      </c>
      <c r="AG923" s="11">
        <v>3414.09</v>
      </c>
      <c r="AH923" s="11">
        <v>3414.09</v>
      </c>
      <c r="AI923" s="11">
        <v>3414.09</v>
      </c>
      <c r="AJ923" s="11">
        <v>3414.09</v>
      </c>
      <c r="AK923" s="11">
        <v>3414.09</v>
      </c>
      <c r="AL923" s="11">
        <v>3414.09</v>
      </c>
      <c r="AM923" s="12">
        <v>3129.58</v>
      </c>
      <c r="AN923" s="12">
        <v>3129.58</v>
      </c>
      <c r="AO923" s="12">
        <v>3129.58</v>
      </c>
      <c r="AP923" s="12">
        <v>3129.58</v>
      </c>
      <c r="AQ923" s="3">
        <f>SUM(AE923:AP923)</f>
        <v>39831.040000000008</v>
      </c>
      <c r="AR923" s="3">
        <v>3129.58</v>
      </c>
      <c r="AS923" s="3">
        <v>3129.58</v>
      </c>
      <c r="AT923" s="3">
        <v>3129.58</v>
      </c>
      <c r="AU923" s="3">
        <v>3129.58</v>
      </c>
      <c r="AV923" s="3">
        <v>3129.58</v>
      </c>
      <c r="AW923" s="3">
        <v>3129.58</v>
      </c>
      <c r="AX923" s="3">
        <v>3129.58</v>
      </c>
      <c r="AY923" s="3">
        <v>3129.58</v>
      </c>
      <c r="AZ923" s="3">
        <v>3129.58</v>
      </c>
      <c r="BA923" s="3">
        <v>3129.58</v>
      </c>
      <c r="BB923" s="3">
        <v>3129.58</v>
      </c>
      <c r="BC923" s="3">
        <v>3129.58</v>
      </c>
      <c r="BD923" s="3">
        <f>SUM(AR923:BC923)</f>
        <v>37554.960000000006</v>
      </c>
    </row>
    <row r="924" spans="1:56" x14ac:dyDescent="0.3">
      <c r="D924" s="8" t="s">
        <v>9</v>
      </c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11"/>
      <c r="S924" s="11"/>
      <c r="T924" s="11"/>
      <c r="U924" s="11"/>
      <c r="V924" s="11"/>
      <c r="W924" s="11"/>
      <c r="X924" s="11"/>
      <c r="Y924" s="11"/>
      <c r="Z924" s="11"/>
      <c r="AA924" s="11">
        <v>62.5</v>
      </c>
      <c r="AB924" s="11"/>
      <c r="AC924" s="11"/>
      <c r="AD924" s="12">
        <f>SUM(R924:AC924)</f>
        <v>62.5</v>
      </c>
      <c r="AE924" s="11">
        <v>250</v>
      </c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3">
        <f>SUM(AE924:AP924)</f>
        <v>250</v>
      </c>
      <c r="AR924" s="3">
        <v>250</v>
      </c>
      <c r="AS924" s="3">
        <v>0</v>
      </c>
      <c r="AT924" s="3">
        <v>0</v>
      </c>
      <c r="AU924" s="3">
        <v>0</v>
      </c>
      <c r="AV924" s="3">
        <v>0</v>
      </c>
      <c r="AW924" s="3">
        <v>0</v>
      </c>
      <c r="AX924" s="3">
        <v>0</v>
      </c>
      <c r="AY924" s="3">
        <v>0</v>
      </c>
      <c r="AZ924" s="3">
        <v>0</v>
      </c>
      <c r="BA924" s="3">
        <v>0</v>
      </c>
      <c r="BB924" s="3">
        <v>0</v>
      </c>
      <c r="BC924" s="3">
        <v>0</v>
      </c>
      <c r="BD924" s="3">
        <f>SUM(AR924:BC924)</f>
        <v>250</v>
      </c>
    </row>
    <row r="925" spans="1:56" ht="13.5" thickBot="1" x14ac:dyDescent="0.35">
      <c r="A925" t="s">
        <v>428</v>
      </c>
      <c r="D925" s="8" t="s">
        <v>10</v>
      </c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11">
        <v>0</v>
      </c>
      <c r="AB925" s="11">
        <v>0</v>
      </c>
      <c r="AC925" s="11">
        <v>0</v>
      </c>
      <c r="AD925" s="12">
        <f>SUM(R925:AC925)</f>
        <v>0</v>
      </c>
      <c r="AE925" s="12">
        <v>0</v>
      </c>
      <c r="AF925" s="12">
        <v>0</v>
      </c>
      <c r="AG925" s="12">
        <v>0</v>
      </c>
      <c r="AH925" s="12">
        <v>0</v>
      </c>
      <c r="AI925" s="12">
        <v>0</v>
      </c>
      <c r="AJ925" s="12">
        <v>0</v>
      </c>
      <c r="AK925" s="12">
        <v>0</v>
      </c>
      <c r="AL925" s="12">
        <v>0</v>
      </c>
      <c r="AM925" s="12">
        <v>0</v>
      </c>
      <c r="AN925" s="12">
        <v>0</v>
      </c>
      <c r="AO925" s="12">
        <v>0</v>
      </c>
      <c r="AP925" s="12">
        <v>0</v>
      </c>
      <c r="AQ925" s="3">
        <f>SUM(AE925:AP925)</f>
        <v>0</v>
      </c>
      <c r="AR925" s="3">
        <v>91537.5</v>
      </c>
      <c r="AS925" s="3">
        <v>91537.5</v>
      </c>
      <c r="AT925" s="3">
        <v>91537.5</v>
      </c>
      <c r="AU925" s="3">
        <v>91537.5</v>
      </c>
      <c r="AV925" s="3">
        <v>91537.5</v>
      </c>
      <c r="AW925" s="3">
        <v>91537.5</v>
      </c>
      <c r="AX925" s="3">
        <v>137306.25</v>
      </c>
      <c r="AY925" s="3">
        <v>137306.25</v>
      </c>
      <c r="AZ925" s="3">
        <v>137306.25</v>
      </c>
      <c r="BA925" s="3">
        <v>137306.25</v>
      </c>
      <c r="BB925" s="3">
        <v>137306.25</v>
      </c>
      <c r="BC925" s="3">
        <v>137306.25</v>
      </c>
      <c r="BD925" s="3">
        <f>SUM(AR925:BC925)</f>
        <v>1373062.5</v>
      </c>
    </row>
    <row r="926" spans="1:56" ht="13.5" thickBot="1" x14ac:dyDescent="0.35">
      <c r="D926" s="13" t="s">
        <v>229</v>
      </c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14">
        <f t="shared" ref="R926:AP926" si="760">SUM(R923:R925)</f>
        <v>0</v>
      </c>
      <c r="S926" s="14">
        <f t="shared" si="760"/>
        <v>0</v>
      </c>
      <c r="T926" s="14">
        <f t="shared" si="760"/>
        <v>0</v>
      </c>
      <c r="U926" s="14">
        <f t="shared" si="760"/>
        <v>0</v>
      </c>
      <c r="V926" s="14">
        <f t="shared" si="760"/>
        <v>0</v>
      </c>
      <c r="W926" s="14">
        <f t="shared" si="760"/>
        <v>0</v>
      </c>
      <c r="X926" s="14">
        <f t="shared" si="760"/>
        <v>0</v>
      </c>
      <c r="Y926" s="14">
        <f t="shared" si="760"/>
        <v>0</v>
      </c>
      <c r="Z926" s="14">
        <f t="shared" si="760"/>
        <v>0</v>
      </c>
      <c r="AA926" s="14">
        <f t="shared" si="760"/>
        <v>3476.59</v>
      </c>
      <c r="AB926" s="14">
        <f t="shared" si="760"/>
        <v>3414.09</v>
      </c>
      <c r="AC926" s="14">
        <f t="shared" si="760"/>
        <v>3414.09</v>
      </c>
      <c r="AD926" s="14">
        <f t="shared" si="760"/>
        <v>10304.77</v>
      </c>
      <c r="AE926" s="14">
        <f t="shared" si="760"/>
        <v>3664.09</v>
      </c>
      <c r="AF926" s="14">
        <f t="shared" si="760"/>
        <v>3414.09</v>
      </c>
      <c r="AG926" s="14">
        <f t="shared" si="760"/>
        <v>3414.09</v>
      </c>
      <c r="AH926" s="14">
        <f t="shared" si="760"/>
        <v>3414.09</v>
      </c>
      <c r="AI926" s="14">
        <f t="shared" si="760"/>
        <v>3414.09</v>
      </c>
      <c r="AJ926" s="14">
        <f t="shared" si="760"/>
        <v>3414.09</v>
      </c>
      <c r="AK926" s="14">
        <f t="shared" si="760"/>
        <v>3414.09</v>
      </c>
      <c r="AL926" s="14">
        <f t="shared" si="760"/>
        <v>3414.09</v>
      </c>
      <c r="AM926" s="14">
        <f t="shared" si="760"/>
        <v>3129.58</v>
      </c>
      <c r="AN926" s="14">
        <f t="shared" si="760"/>
        <v>3129.58</v>
      </c>
      <c r="AO926" s="14">
        <f t="shared" si="760"/>
        <v>3129.58</v>
      </c>
      <c r="AP926" s="14">
        <f t="shared" si="760"/>
        <v>3129.58</v>
      </c>
      <c r="AQ926" s="22">
        <f>SUM(AQ923:AQ925)</f>
        <v>40081.040000000008</v>
      </c>
      <c r="AR926" s="22">
        <f t="shared" ref="AR926:BD926" si="761">SUM(AR923:AR925)</f>
        <v>94917.08</v>
      </c>
      <c r="AS926" s="22">
        <f t="shared" si="761"/>
        <v>94667.08</v>
      </c>
      <c r="AT926" s="22">
        <f t="shared" si="761"/>
        <v>94667.08</v>
      </c>
      <c r="AU926" s="22">
        <f t="shared" si="761"/>
        <v>94667.08</v>
      </c>
      <c r="AV926" s="22">
        <f t="shared" si="761"/>
        <v>94667.08</v>
      </c>
      <c r="AW926" s="22">
        <f t="shared" si="761"/>
        <v>94667.08</v>
      </c>
      <c r="AX926" s="22">
        <f t="shared" si="761"/>
        <v>140435.82999999999</v>
      </c>
      <c r="AY926" s="22">
        <f t="shared" si="761"/>
        <v>140435.82999999999</v>
      </c>
      <c r="AZ926" s="22">
        <f t="shared" si="761"/>
        <v>140435.82999999999</v>
      </c>
      <c r="BA926" s="22">
        <f t="shared" si="761"/>
        <v>140435.82999999999</v>
      </c>
      <c r="BB926" s="22">
        <f t="shared" si="761"/>
        <v>140435.82999999999</v>
      </c>
      <c r="BC926" s="22">
        <f t="shared" si="761"/>
        <v>140435.82999999999</v>
      </c>
      <c r="BD926" s="22">
        <f t="shared" si="761"/>
        <v>1410867.46</v>
      </c>
    </row>
    <row r="927" spans="1:56" x14ac:dyDescent="0.3">
      <c r="D927" s="15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</row>
    <row r="928" spans="1:56" ht="15.5" x14ac:dyDescent="0.35">
      <c r="B928" s="1">
        <f>B922+1</f>
        <v>114</v>
      </c>
      <c r="C928" s="1" t="s">
        <v>14</v>
      </c>
      <c r="D928" s="25" t="s">
        <v>429</v>
      </c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</row>
    <row r="929" spans="1:56" x14ac:dyDescent="0.3">
      <c r="D929" s="8" t="s">
        <v>8</v>
      </c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12">
        <f>SUM(R929:AC929)</f>
        <v>0</v>
      </c>
      <c r="AE929" s="12">
        <v>0</v>
      </c>
      <c r="AF929" s="12">
        <v>0</v>
      </c>
      <c r="AG929" s="12">
        <v>0</v>
      </c>
      <c r="AH929" s="12">
        <v>0</v>
      </c>
      <c r="AI929" s="12">
        <v>0</v>
      </c>
      <c r="AJ929" s="12">
        <v>0</v>
      </c>
      <c r="AK929" s="12">
        <v>0</v>
      </c>
      <c r="AL929" s="12">
        <v>0</v>
      </c>
      <c r="AM929" s="12">
        <v>0</v>
      </c>
      <c r="AN929" s="12">
        <v>0</v>
      </c>
      <c r="AO929" s="12">
        <v>0</v>
      </c>
      <c r="AP929" s="12">
        <v>0</v>
      </c>
      <c r="AQ929" s="3">
        <f>SUM(AE929:AP929)</f>
        <v>0</v>
      </c>
      <c r="AR929" s="3">
        <v>0</v>
      </c>
      <c r="AS929" s="3">
        <v>0</v>
      </c>
      <c r="AT929" s="3">
        <v>0</v>
      </c>
      <c r="AU929" s="3">
        <v>0</v>
      </c>
      <c r="AV929" s="3">
        <v>0</v>
      </c>
      <c r="AW929" s="3">
        <v>0</v>
      </c>
      <c r="AX929" s="3">
        <v>0</v>
      </c>
      <c r="AY929" s="3">
        <v>0</v>
      </c>
      <c r="AZ929" s="3">
        <v>0</v>
      </c>
      <c r="BA929" s="3">
        <v>0</v>
      </c>
      <c r="BB929" s="3">
        <v>0</v>
      </c>
      <c r="BC929" s="3">
        <v>0</v>
      </c>
      <c r="BD929" s="3">
        <f>SUM(AR929:BC929)</f>
        <v>0</v>
      </c>
    </row>
    <row r="930" spans="1:56" x14ac:dyDescent="0.3">
      <c r="D930" s="8" t="s">
        <v>9</v>
      </c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>
        <v>20.83</v>
      </c>
      <c r="AD930" s="12">
        <f>SUM(R930:AC930)</f>
        <v>20.83</v>
      </c>
      <c r="AE930" s="11">
        <v>250</v>
      </c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3">
        <f>SUM(AE930:AP930)</f>
        <v>250</v>
      </c>
      <c r="AR930" s="3">
        <v>250</v>
      </c>
      <c r="AS930" s="3">
        <v>0</v>
      </c>
      <c r="AT930" s="3">
        <v>0</v>
      </c>
      <c r="AU930" s="3">
        <v>0</v>
      </c>
      <c r="AV930" s="3">
        <v>0</v>
      </c>
      <c r="AW930" s="3">
        <v>0</v>
      </c>
      <c r="AX930" s="3">
        <v>0</v>
      </c>
      <c r="AY930" s="3">
        <v>0</v>
      </c>
      <c r="AZ930" s="3">
        <v>0</v>
      </c>
      <c r="BA930" s="3">
        <v>0</v>
      </c>
      <c r="BB930" s="3">
        <v>0</v>
      </c>
      <c r="BC930" s="3">
        <v>0</v>
      </c>
      <c r="BD930" s="3">
        <f>SUM(AR930:BC930)</f>
        <v>250</v>
      </c>
    </row>
    <row r="931" spans="1:56" ht="13.5" thickBot="1" x14ac:dyDescent="0.35">
      <c r="A931" t="s">
        <v>430</v>
      </c>
      <c r="D931" s="8" t="s">
        <v>10</v>
      </c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1">
        <v>33347.730000000003</v>
      </c>
      <c r="AD931" s="12">
        <f>SUM(R931:AC931)</f>
        <v>33347.730000000003</v>
      </c>
      <c r="AE931" s="11">
        <v>33347.730000000003</v>
      </c>
      <c r="AF931" s="11">
        <v>33347.730000000003</v>
      </c>
      <c r="AG931" s="11">
        <v>33347.730000000003</v>
      </c>
      <c r="AH931" s="11">
        <v>33347.730000000003</v>
      </c>
      <c r="AI931" s="11">
        <v>33347.730000000003</v>
      </c>
      <c r="AJ931" s="11">
        <v>33347.730000000003</v>
      </c>
      <c r="AK931" s="12">
        <v>33507.29</v>
      </c>
      <c r="AL931" s="12">
        <v>33507.29</v>
      </c>
      <c r="AM931" s="12">
        <v>33507.29</v>
      </c>
      <c r="AN931" s="12">
        <v>33507.29</v>
      </c>
      <c r="AO931" s="12">
        <v>33507.29</v>
      </c>
      <c r="AP931" s="12">
        <v>33507.29</v>
      </c>
      <c r="AQ931" s="3">
        <f>SUM(AE931:AP931)</f>
        <v>401130.11999999994</v>
      </c>
      <c r="AR931" s="3">
        <v>33507.29</v>
      </c>
      <c r="AS931" s="3">
        <v>33507.29</v>
      </c>
      <c r="AT931" s="3">
        <v>33507.29</v>
      </c>
      <c r="AU931" s="3">
        <v>33507.29</v>
      </c>
      <c r="AV931" s="3">
        <v>33507.29</v>
      </c>
      <c r="AW931" s="3">
        <v>33507.29</v>
      </c>
      <c r="AX931" s="3">
        <v>33507.29</v>
      </c>
      <c r="AY931" s="3">
        <v>33507.29</v>
      </c>
      <c r="AZ931" s="3">
        <v>33507.29</v>
      </c>
      <c r="BA931" s="3">
        <v>33507.29</v>
      </c>
      <c r="BB931" s="3">
        <v>33507.29</v>
      </c>
      <c r="BC931" s="3">
        <v>33507.29</v>
      </c>
      <c r="BD931" s="3">
        <f>SUM(AR931:BC931)</f>
        <v>402087.47999999992</v>
      </c>
    </row>
    <row r="932" spans="1:56" ht="13.5" thickBot="1" x14ac:dyDescent="0.35">
      <c r="D932" s="13" t="s">
        <v>37</v>
      </c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14">
        <f t="shared" ref="R932:AP932" si="762">SUM(R929:R931)</f>
        <v>0</v>
      </c>
      <c r="S932" s="14">
        <f t="shared" si="762"/>
        <v>0</v>
      </c>
      <c r="T932" s="14">
        <f t="shared" si="762"/>
        <v>0</v>
      </c>
      <c r="U932" s="14">
        <f t="shared" si="762"/>
        <v>0</v>
      </c>
      <c r="V932" s="14">
        <f t="shared" si="762"/>
        <v>0</v>
      </c>
      <c r="W932" s="14">
        <f t="shared" si="762"/>
        <v>0</v>
      </c>
      <c r="X932" s="14">
        <f t="shared" si="762"/>
        <v>0</v>
      </c>
      <c r="Y932" s="14">
        <f t="shared" si="762"/>
        <v>0</v>
      </c>
      <c r="Z932" s="14">
        <f t="shared" si="762"/>
        <v>0</v>
      </c>
      <c r="AA932" s="14">
        <f t="shared" si="762"/>
        <v>0</v>
      </c>
      <c r="AB932" s="14">
        <f t="shared" si="762"/>
        <v>0</v>
      </c>
      <c r="AC932" s="14">
        <f t="shared" si="762"/>
        <v>33368.560000000005</v>
      </c>
      <c r="AD932" s="14">
        <f t="shared" si="762"/>
        <v>33368.560000000005</v>
      </c>
      <c r="AE932" s="14">
        <f t="shared" si="762"/>
        <v>33597.730000000003</v>
      </c>
      <c r="AF932" s="14">
        <f t="shared" si="762"/>
        <v>33347.730000000003</v>
      </c>
      <c r="AG932" s="14">
        <f t="shared" si="762"/>
        <v>33347.730000000003</v>
      </c>
      <c r="AH932" s="14">
        <f t="shared" si="762"/>
        <v>33347.730000000003</v>
      </c>
      <c r="AI932" s="14">
        <f t="shared" si="762"/>
        <v>33347.730000000003</v>
      </c>
      <c r="AJ932" s="14">
        <f t="shared" si="762"/>
        <v>33347.730000000003</v>
      </c>
      <c r="AK932" s="14">
        <f t="shared" si="762"/>
        <v>33507.29</v>
      </c>
      <c r="AL932" s="14">
        <f t="shared" si="762"/>
        <v>33507.29</v>
      </c>
      <c r="AM932" s="14">
        <f t="shared" si="762"/>
        <v>33507.29</v>
      </c>
      <c r="AN932" s="14">
        <f t="shared" si="762"/>
        <v>33507.29</v>
      </c>
      <c r="AO932" s="14">
        <f t="shared" si="762"/>
        <v>33507.29</v>
      </c>
      <c r="AP932" s="14">
        <f t="shared" si="762"/>
        <v>33507.29</v>
      </c>
      <c r="AQ932" s="22">
        <f>SUM(AQ929:AQ931)</f>
        <v>401380.11999999994</v>
      </c>
      <c r="AR932" s="22">
        <f t="shared" ref="AR932:BD932" si="763">SUM(AR929:AR931)</f>
        <v>33757.29</v>
      </c>
      <c r="AS932" s="22">
        <f t="shared" si="763"/>
        <v>33507.29</v>
      </c>
      <c r="AT932" s="22">
        <f t="shared" si="763"/>
        <v>33507.29</v>
      </c>
      <c r="AU932" s="22">
        <f t="shared" si="763"/>
        <v>33507.29</v>
      </c>
      <c r="AV932" s="22">
        <f t="shared" si="763"/>
        <v>33507.29</v>
      </c>
      <c r="AW932" s="22">
        <f t="shared" si="763"/>
        <v>33507.29</v>
      </c>
      <c r="AX932" s="22">
        <f t="shared" si="763"/>
        <v>33507.29</v>
      </c>
      <c r="AY932" s="22">
        <f t="shared" si="763"/>
        <v>33507.29</v>
      </c>
      <c r="AZ932" s="22">
        <f t="shared" si="763"/>
        <v>33507.29</v>
      </c>
      <c r="BA932" s="22">
        <f t="shared" si="763"/>
        <v>33507.29</v>
      </c>
      <c r="BB932" s="22">
        <f t="shared" si="763"/>
        <v>33507.29</v>
      </c>
      <c r="BC932" s="22">
        <f t="shared" si="763"/>
        <v>33507.29</v>
      </c>
      <c r="BD932" s="22">
        <f t="shared" si="763"/>
        <v>402337.47999999992</v>
      </c>
    </row>
    <row r="933" spans="1:56" x14ac:dyDescent="0.3">
      <c r="D933" s="15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</row>
    <row r="934" spans="1:56" ht="15.5" x14ac:dyDescent="0.35">
      <c r="B934" s="1">
        <f>B928+1</f>
        <v>115</v>
      </c>
      <c r="C934" s="1" t="s">
        <v>14</v>
      </c>
      <c r="D934" s="25" t="s">
        <v>431</v>
      </c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</row>
    <row r="935" spans="1:56" x14ac:dyDescent="0.3">
      <c r="D935" s="8" t="s">
        <v>8</v>
      </c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12">
        <f>SUM(R935:AC935)</f>
        <v>0</v>
      </c>
      <c r="AE935" s="12">
        <v>0</v>
      </c>
      <c r="AF935" s="12">
        <v>0</v>
      </c>
      <c r="AG935" s="12">
        <v>532.27</v>
      </c>
      <c r="AH935" s="12">
        <v>532.27</v>
      </c>
      <c r="AI935" s="12">
        <v>532.27</v>
      </c>
      <c r="AJ935" s="12">
        <v>532.27</v>
      </c>
      <c r="AK935" s="12">
        <v>532.27</v>
      </c>
      <c r="AL935" s="12">
        <v>532.27</v>
      </c>
      <c r="AM935" s="12">
        <v>532.27</v>
      </c>
      <c r="AN935" s="12">
        <v>532.27</v>
      </c>
      <c r="AO935" s="12">
        <v>532.27</v>
      </c>
      <c r="AP935" s="12">
        <v>532.27</v>
      </c>
      <c r="AQ935" s="3">
        <f>SUM(AE935:AP935)</f>
        <v>5322.7000000000007</v>
      </c>
      <c r="AR935" s="3">
        <v>532.27</v>
      </c>
      <c r="AS935" s="3">
        <v>487.92</v>
      </c>
      <c r="AT935" s="3">
        <v>487.92</v>
      </c>
      <c r="AU935" s="3">
        <v>487.92</v>
      </c>
      <c r="AV935" s="3">
        <v>487.92</v>
      </c>
      <c r="AW935" s="3">
        <v>487.92</v>
      </c>
      <c r="AX935" s="3">
        <v>487.92</v>
      </c>
      <c r="AY935" s="3">
        <v>487.92</v>
      </c>
      <c r="AZ935" s="3">
        <v>487.92</v>
      </c>
      <c r="BA935" s="3">
        <v>487.92</v>
      </c>
      <c r="BB935" s="3">
        <v>487.92</v>
      </c>
      <c r="BC935" s="3">
        <v>487.92</v>
      </c>
      <c r="BD935" s="3">
        <f>SUM(AR935:BC935)</f>
        <v>5899.39</v>
      </c>
    </row>
    <row r="936" spans="1:56" x14ac:dyDescent="0.3">
      <c r="D936" s="8" t="s">
        <v>9</v>
      </c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>
        <v>20.83</v>
      </c>
      <c r="AD936" s="12">
        <f>SUM(R936:AC936)</f>
        <v>20.83</v>
      </c>
      <c r="AE936" s="11"/>
      <c r="AF936" s="11"/>
      <c r="AG936" s="11">
        <v>208.33</v>
      </c>
      <c r="AH936" s="11"/>
      <c r="AI936" s="11"/>
      <c r="AJ936" s="11"/>
      <c r="AK936" s="11"/>
      <c r="AL936" s="11"/>
      <c r="AM936" s="11"/>
      <c r="AN936" s="11"/>
      <c r="AO936" s="11"/>
      <c r="AP936" s="11"/>
      <c r="AQ936" s="3">
        <f>SUM(AE936:AP936)</f>
        <v>208.33</v>
      </c>
      <c r="AR936" s="3">
        <v>250</v>
      </c>
      <c r="AS936" s="3">
        <v>0</v>
      </c>
      <c r="AT936" s="3">
        <v>0</v>
      </c>
      <c r="AU936" s="3">
        <v>0</v>
      </c>
      <c r="AV936" s="3">
        <v>0</v>
      </c>
      <c r="AW936" s="3">
        <v>0</v>
      </c>
      <c r="AX936" s="3">
        <v>0</v>
      </c>
      <c r="AY936" s="3">
        <v>0</v>
      </c>
      <c r="AZ936" s="3">
        <v>0</v>
      </c>
      <c r="BA936" s="3">
        <v>0</v>
      </c>
      <c r="BB936" s="3">
        <v>0</v>
      </c>
      <c r="BC936" s="3">
        <v>0</v>
      </c>
      <c r="BD936" s="3">
        <f>SUM(AR936:BC936)</f>
        <v>250</v>
      </c>
    </row>
    <row r="937" spans="1:56" ht="13.5" thickBot="1" x14ac:dyDescent="0.35">
      <c r="A937" t="s">
        <v>432</v>
      </c>
      <c r="D937" s="8" t="s">
        <v>10</v>
      </c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1">
        <v>33347.730000000003</v>
      </c>
      <c r="AD937" s="12">
        <f>SUM(R937:AC937)</f>
        <v>33347.730000000003</v>
      </c>
      <c r="AE937" s="12">
        <v>0</v>
      </c>
      <c r="AF937" s="12">
        <v>0</v>
      </c>
      <c r="AG937" s="12">
        <v>23303</v>
      </c>
      <c r="AH937" s="12">
        <v>23303</v>
      </c>
      <c r="AI937" s="12">
        <v>23303</v>
      </c>
      <c r="AJ937" s="12">
        <v>23303.01</v>
      </c>
      <c r="AK937" s="12">
        <v>23110.42</v>
      </c>
      <c r="AL937" s="12">
        <v>23110.42</v>
      </c>
      <c r="AM937" s="12">
        <v>23110.42</v>
      </c>
      <c r="AN937" s="12">
        <v>23110.42</v>
      </c>
      <c r="AO937" s="12">
        <v>23110.42</v>
      </c>
      <c r="AP937" s="12">
        <v>23110.400000000001</v>
      </c>
      <c r="AQ937" s="3">
        <f>SUM(AE937:AP937)</f>
        <v>231874.50999999992</v>
      </c>
      <c r="AR937" s="3">
        <f>8750+23110.42</f>
        <v>31860.42</v>
      </c>
      <c r="AS937" s="3">
        <f>8750+23110.42</f>
        <v>31860.42</v>
      </c>
      <c r="AT937" s="3">
        <f t="shared" ref="AT937:BB937" si="764">8750+23110.42</f>
        <v>31860.42</v>
      </c>
      <c r="AU937" s="3">
        <f t="shared" si="764"/>
        <v>31860.42</v>
      </c>
      <c r="AV937" s="3">
        <f t="shared" si="764"/>
        <v>31860.42</v>
      </c>
      <c r="AW937" s="3">
        <f>8750+23110.4</f>
        <v>31860.400000000001</v>
      </c>
      <c r="AX937" s="3">
        <f t="shared" si="764"/>
        <v>31860.42</v>
      </c>
      <c r="AY937" s="3">
        <f t="shared" si="764"/>
        <v>31860.42</v>
      </c>
      <c r="AZ937" s="3">
        <f t="shared" si="764"/>
        <v>31860.42</v>
      </c>
      <c r="BA937" s="3">
        <f t="shared" si="764"/>
        <v>31860.42</v>
      </c>
      <c r="BB937" s="3">
        <f t="shared" si="764"/>
        <v>31860.42</v>
      </c>
      <c r="BC937" s="3">
        <f>8750+23110.4</f>
        <v>31860.400000000001</v>
      </c>
      <c r="BD937" s="3">
        <f>SUM(AR937:BC937)</f>
        <v>382324.99999999994</v>
      </c>
    </row>
    <row r="938" spans="1:56" ht="13.5" thickBot="1" x14ac:dyDescent="0.35">
      <c r="D938" s="13" t="s">
        <v>126</v>
      </c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14">
        <f t="shared" ref="R938:AP938" si="765">SUM(R935:R937)</f>
        <v>0</v>
      </c>
      <c r="S938" s="14">
        <f t="shared" si="765"/>
        <v>0</v>
      </c>
      <c r="T938" s="14">
        <f t="shared" si="765"/>
        <v>0</v>
      </c>
      <c r="U938" s="14">
        <f t="shared" si="765"/>
        <v>0</v>
      </c>
      <c r="V938" s="14">
        <f t="shared" si="765"/>
        <v>0</v>
      </c>
      <c r="W938" s="14">
        <f t="shared" si="765"/>
        <v>0</v>
      </c>
      <c r="X938" s="14">
        <f t="shared" si="765"/>
        <v>0</v>
      </c>
      <c r="Y938" s="14">
        <f t="shared" si="765"/>
        <v>0</v>
      </c>
      <c r="Z938" s="14">
        <f t="shared" si="765"/>
        <v>0</v>
      </c>
      <c r="AA938" s="14">
        <f t="shared" si="765"/>
        <v>0</v>
      </c>
      <c r="AB938" s="14">
        <f t="shared" si="765"/>
        <v>0</v>
      </c>
      <c r="AC938" s="14">
        <f t="shared" si="765"/>
        <v>33368.560000000005</v>
      </c>
      <c r="AD938" s="14">
        <f t="shared" si="765"/>
        <v>33368.560000000005</v>
      </c>
      <c r="AE938" s="14">
        <f t="shared" si="765"/>
        <v>0</v>
      </c>
      <c r="AF938" s="14">
        <f t="shared" si="765"/>
        <v>0</v>
      </c>
      <c r="AG938" s="14">
        <f t="shared" si="765"/>
        <v>24043.599999999999</v>
      </c>
      <c r="AH938" s="14">
        <f t="shared" si="765"/>
        <v>23835.27</v>
      </c>
      <c r="AI938" s="14">
        <f t="shared" si="765"/>
        <v>23835.27</v>
      </c>
      <c r="AJ938" s="14">
        <f t="shared" si="765"/>
        <v>23835.279999999999</v>
      </c>
      <c r="AK938" s="14">
        <f t="shared" si="765"/>
        <v>23642.69</v>
      </c>
      <c r="AL938" s="14">
        <f t="shared" si="765"/>
        <v>23642.69</v>
      </c>
      <c r="AM938" s="14">
        <f t="shared" si="765"/>
        <v>23642.69</v>
      </c>
      <c r="AN938" s="14">
        <f t="shared" si="765"/>
        <v>23642.69</v>
      </c>
      <c r="AO938" s="14">
        <f t="shared" si="765"/>
        <v>23642.69</v>
      </c>
      <c r="AP938" s="14">
        <f t="shared" si="765"/>
        <v>23642.670000000002</v>
      </c>
      <c r="AQ938" s="22">
        <f>SUM(AQ935:AQ937)</f>
        <v>237405.53999999992</v>
      </c>
      <c r="AR938" s="22">
        <f t="shared" ref="AR938:BD938" si="766">SUM(AR935:AR937)</f>
        <v>32642.69</v>
      </c>
      <c r="AS938" s="22">
        <f t="shared" si="766"/>
        <v>32348.339999999997</v>
      </c>
      <c r="AT938" s="22">
        <f t="shared" si="766"/>
        <v>32348.339999999997</v>
      </c>
      <c r="AU938" s="22">
        <f t="shared" si="766"/>
        <v>32348.339999999997</v>
      </c>
      <c r="AV938" s="22">
        <f t="shared" si="766"/>
        <v>32348.339999999997</v>
      </c>
      <c r="AW938" s="22">
        <f t="shared" si="766"/>
        <v>32348.32</v>
      </c>
      <c r="AX938" s="22">
        <f t="shared" si="766"/>
        <v>32348.339999999997</v>
      </c>
      <c r="AY938" s="22">
        <f t="shared" si="766"/>
        <v>32348.339999999997</v>
      </c>
      <c r="AZ938" s="22">
        <f t="shared" si="766"/>
        <v>32348.339999999997</v>
      </c>
      <c r="BA938" s="22">
        <f t="shared" si="766"/>
        <v>32348.339999999997</v>
      </c>
      <c r="BB938" s="22">
        <f t="shared" si="766"/>
        <v>32348.339999999997</v>
      </c>
      <c r="BC938" s="22">
        <f t="shared" si="766"/>
        <v>32348.32</v>
      </c>
      <c r="BD938" s="22">
        <f t="shared" si="766"/>
        <v>388474.38999999996</v>
      </c>
    </row>
    <row r="939" spans="1:56" x14ac:dyDescent="0.3">
      <c r="D939" s="15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</row>
    <row r="940" spans="1:56" ht="15.5" x14ac:dyDescent="0.35">
      <c r="B940" s="1">
        <f>B934+1</f>
        <v>116</v>
      </c>
      <c r="C940" s="1" t="s">
        <v>14</v>
      </c>
      <c r="D940" s="25" t="s">
        <v>433</v>
      </c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</row>
    <row r="941" spans="1:56" x14ac:dyDescent="0.3">
      <c r="D941" s="8" t="s">
        <v>8</v>
      </c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AE941" s="12">
        <v>0</v>
      </c>
      <c r="AF941" s="12">
        <v>0</v>
      </c>
      <c r="AG941" s="12">
        <v>0</v>
      </c>
      <c r="AH941" s="12">
        <v>0</v>
      </c>
      <c r="AI941" s="12">
        <v>0</v>
      </c>
      <c r="AJ941" s="12">
        <v>0</v>
      </c>
      <c r="AK941" s="12">
        <v>0</v>
      </c>
      <c r="AL941" s="12">
        <v>0</v>
      </c>
      <c r="AM941" s="12">
        <v>0</v>
      </c>
      <c r="AN941" s="12">
        <v>0</v>
      </c>
      <c r="AO941" s="12">
        <v>0</v>
      </c>
      <c r="AP941" s="12">
        <v>0</v>
      </c>
      <c r="AQ941" s="3">
        <f>SUM(AE941:AP941)</f>
        <v>0</v>
      </c>
      <c r="AR941" s="3">
        <v>0</v>
      </c>
      <c r="AS941" s="3">
        <v>0</v>
      </c>
      <c r="AT941" s="3">
        <v>0</v>
      </c>
      <c r="AU941" s="3">
        <v>0</v>
      </c>
      <c r="AV941" s="3">
        <v>0</v>
      </c>
      <c r="AW941" s="3">
        <v>0</v>
      </c>
      <c r="AX941" s="3">
        <v>0</v>
      </c>
      <c r="AY941" s="3">
        <v>0</v>
      </c>
      <c r="AZ941" s="3">
        <v>0</v>
      </c>
      <c r="BA941" s="3">
        <v>0</v>
      </c>
      <c r="BB941" s="3">
        <v>0</v>
      </c>
      <c r="BC941" s="3">
        <v>0</v>
      </c>
      <c r="BD941" s="3">
        <f>SUM(AR941:BC941)</f>
        <v>0</v>
      </c>
    </row>
    <row r="942" spans="1:56" x14ac:dyDescent="0.3">
      <c r="D942" s="8" t="s">
        <v>9</v>
      </c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AE942" s="11"/>
      <c r="AF942" s="11"/>
      <c r="AG942" s="11"/>
      <c r="AH942" s="11">
        <v>187.5</v>
      </c>
      <c r="AI942" s="11"/>
      <c r="AJ942" s="11"/>
      <c r="AK942" s="11"/>
      <c r="AL942" s="11"/>
      <c r="AM942" s="11"/>
      <c r="AN942" s="11"/>
      <c r="AO942" s="11"/>
      <c r="AP942" s="11"/>
      <c r="AQ942" s="3">
        <f>SUM(AE942:AP942)</f>
        <v>187.5</v>
      </c>
      <c r="AR942" s="3">
        <v>250</v>
      </c>
      <c r="AS942" s="3">
        <v>0</v>
      </c>
      <c r="AT942" s="3">
        <v>0</v>
      </c>
      <c r="AU942" s="3">
        <v>0</v>
      </c>
      <c r="AV942" s="3">
        <v>0</v>
      </c>
      <c r="AW942" s="3">
        <v>0</v>
      </c>
      <c r="AX942" s="3">
        <v>0</v>
      </c>
      <c r="AY942" s="3">
        <v>0</v>
      </c>
      <c r="AZ942" s="3">
        <v>0</v>
      </c>
      <c r="BA942" s="3">
        <v>0</v>
      </c>
      <c r="BB942" s="3">
        <v>0</v>
      </c>
      <c r="BC942" s="3">
        <v>0</v>
      </c>
      <c r="BD942" s="3">
        <f>SUM(AR942:BC942)</f>
        <v>250</v>
      </c>
    </row>
    <row r="943" spans="1:56" ht="13.5" thickBot="1" x14ac:dyDescent="0.35">
      <c r="A943" t="s">
        <v>434</v>
      </c>
      <c r="D943" s="8" t="s">
        <v>10</v>
      </c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AE943" s="12">
        <v>0</v>
      </c>
      <c r="AF943" s="12">
        <v>0</v>
      </c>
      <c r="AG943" s="12">
        <v>0</v>
      </c>
      <c r="AH943" s="12">
        <v>70207.5</v>
      </c>
      <c r="AI943" s="12">
        <v>70207.5</v>
      </c>
      <c r="AJ943" s="12">
        <v>61050</v>
      </c>
      <c r="AK943" s="12">
        <v>61050</v>
      </c>
      <c r="AL943" s="12">
        <v>61050</v>
      </c>
      <c r="AM943" s="12">
        <v>61050</v>
      </c>
      <c r="AN943" s="12">
        <v>61050</v>
      </c>
      <c r="AO943" s="12">
        <v>61050</v>
      </c>
      <c r="AP943" s="12">
        <v>61050</v>
      </c>
      <c r="AQ943" s="3">
        <f>SUM(AE943:AP943)</f>
        <v>567765</v>
      </c>
      <c r="AR943" s="3">
        <v>61050</v>
      </c>
      <c r="AS943" s="3">
        <v>61050</v>
      </c>
      <c r="AT943" s="3">
        <v>61050</v>
      </c>
      <c r="AU943" s="3">
        <v>61050</v>
      </c>
      <c r="AV943" s="3">
        <v>61050</v>
      </c>
      <c r="AW943" s="3">
        <v>61050</v>
      </c>
      <c r="AX943" s="3">
        <v>61050</v>
      </c>
      <c r="AY943" s="3">
        <v>61050</v>
      </c>
      <c r="AZ943" s="3">
        <v>61050</v>
      </c>
      <c r="BA943" s="3">
        <v>61050</v>
      </c>
      <c r="BB943" s="3">
        <v>61050</v>
      </c>
      <c r="BC943" s="3">
        <f>8333.33+61050</f>
        <v>69383.33</v>
      </c>
      <c r="BD943" s="3">
        <f>SUM(AR943:BC943)</f>
        <v>740933.33</v>
      </c>
    </row>
    <row r="944" spans="1:56" ht="13.5" thickBot="1" x14ac:dyDescent="0.35">
      <c r="D944" s="13" t="s">
        <v>144</v>
      </c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AE944" s="14">
        <f>SUM(AE941:AE943)</f>
        <v>0</v>
      </c>
      <c r="AF944" s="14">
        <f>SUM(AF941:AF943)</f>
        <v>0</v>
      </c>
      <c r="AG944" s="14">
        <f t="shared" ref="AG944:AP944" si="767">SUM(AG941:AG943)</f>
        <v>0</v>
      </c>
      <c r="AH944" s="14">
        <f t="shared" si="767"/>
        <v>70395</v>
      </c>
      <c r="AI944" s="14">
        <f t="shared" si="767"/>
        <v>70207.5</v>
      </c>
      <c r="AJ944" s="14">
        <f t="shared" si="767"/>
        <v>61050</v>
      </c>
      <c r="AK944" s="14">
        <f t="shared" si="767"/>
        <v>61050</v>
      </c>
      <c r="AL944" s="14">
        <f t="shared" si="767"/>
        <v>61050</v>
      </c>
      <c r="AM944" s="14">
        <f t="shared" si="767"/>
        <v>61050</v>
      </c>
      <c r="AN944" s="14">
        <f t="shared" si="767"/>
        <v>61050</v>
      </c>
      <c r="AO944" s="14">
        <f t="shared" si="767"/>
        <v>61050</v>
      </c>
      <c r="AP944" s="14">
        <f t="shared" si="767"/>
        <v>61050</v>
      </c>
      <c r="AQ944" s="22">
        <f>SUM(AQ941:AQ943)</f>
        <v>567952.5</v>
      </c>
      <c r="AR944" s="22">
        <f t="shared" ref="AR944:BD944" si="768">SUM(AR941:AR943)</f>
        <v>61300</v>
      </c>
      <c r="AS944" s="22">
        <f t="shared" si="768"/>
        <v>61050</v>
      </c>
      <c r="AT944" s="22">
        <f t="shared" si="768"/>
        <v>61050</v>
      </c>
      <c r="AU944" s="22">
        <f t="shared" si="768"/>
        <v>61050</v>
      </c>
      <c r="AV944" s="22">
        <f t="shared" si="768"/>
        <v>61050</v>
      </c>
      <c r="AW944" s="22">
        <f t="shared" si="768"/>
        <v>61050</v>
      </c>
      <c r="AX944" s="22">
        <f t="shared" si="768"/>
        <v>61050</v>
      </c>
      <c r="AY944" s="22">
        <f t="shared" si="768"/>
        <v>61050</v>
      </c>
      <c r="AZ944" s="22">
        <f t="shared" si="768"/>
        <v>61050</v>
      </c>
      <c r="BA944" s="22">
        <f t="shared" si="768"/>
        <v>61050</v>
      </c>
      <c r="BB944" s="22">
        <f t="shared" si="768"/>
        <v>61050</v>
      </c>
      <c r="BC944" s="22">
        <f t="shared" si="768"/>
        <v>69383.33</v>
      </c>
      <c r="BD944" s="22">
        <f t="shared" si="768"/>
        <v>741183.33</v>
      </c>
    </row>
    <row r="945" spans="1:56" x14ac:dyDescent="0.3">
      <c r="D945" s="15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</row>
    <row r="946" spans="1:56" ht="15.5" x14ac:dyDescent="0.35">
      <c r="B946" s="1">
        <f>B940+1</f>
        <v>117</v>
      </c>
      <c r="D946" s="10" t="s">
        <v>435</v>
      </c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</row>
    <row r="947" spans="1:56" x14ac:dyDescent="0.3">
      <c r="D947" s="8" t="s">
        <v>8</v>
      </c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AE947" s="12">
        <v>0</v>
      </c>
      <c r="AF947" s="12">
        <v>0</v>
      </c>
      <c r="AG947" s="12">
        <v>0</v>
      </c>
      <c r="AH947" s="12">
        <v>0</v>
      </c>
      <c r="AI947" s="12">
        <v>0</v>
      </c>
      <c r="AJ947" s="12">
        <v>0</v>
      </c>
      <c r="AK947" s="12">
        <v>0</v>
      </c>
      <c r="AL947" s="12">
        <v>0</v>
      </c>
      <c r="AM947" s="12">
        <v>0</v>
      </c>
      <c r="AN947" s="12">
        <v>0</v>
      </c>
      <c r="AO947" s="12">
        <v>0</v>
      </c>
      <c r="AP947" s="12"/>
      <c r="AQ947" s="3">
        <f>SUM(AE947:AP947)</f>
        <v>0</v>
      </c>
    </row>
    <row r="948" spans="1:56" x14ac:dyDescent="0.3">
      <c r="D948" s="8" t="s">
        <v>9</v>
      </c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AE948" s="11"/>
      <c r="AF948" s="11"/>
      <c r="AG948" s="11"/>
      <c r="AH948" s="11">
        <v>187.5</v>
      </c>
      <c r="AI948" s="11"/>
      <c r="AJ948" s="11"/>
      <c r="AK948" s="11"/>
      <c r="AL948" s="11"/>
      <c r="AM948" s="11"/>
      <c r="AN948" s="11"/>
      <c r="AO948" s="11"/>
      <c r="AP948" s="11"/>
      <c r="AQ948" s="3">
        <f>SUM(AE948:AP948)</f>
        <v>187.5</v>
      </c>
    </row>
    <row r="949" spans="1:56" ht="13.5" thickBot="1" x14ac:dyDescent="0.35">
      <c r="A949" t="s">
        <v>436</v>
      </c>
      <c r="D949" s="8" t="s">
        <v>10</v>
      </c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AE949" s="12">
        <v>0</v>
      </c>
      <c r="AF949" s="12">
        <v>0</v>
      </c>
      <c r="AG949" s="12">
        <v>0</v>
      </c>
      <c r="AH949" s="36"/>
      <c r="AI949" s="36">
        <v>74204.17</v>
      </c>
      <c r="AJ949" s="42">
        <v>0</v>
      </c>
      <c r="AK949" s="12">
        <v>1267.5</v>
      </c>
      <c r="AL949" s="12">
        <v>74204.17</v>
      </c>
      <c r="AM949" s="12">
        <v>74204.17</v>
      </c>
      <c r="AN949" s="12">
        <v>74204.17</v>
      </c>
      <c r="AO949" s="12">
        <v>74204.17</v>
      </c>
      <c r="AP949" s="12"/>
      <c r="AQ949" s="3">
        <f>SUM(AE949:AP949)</f>
        <v>372288.35</v>
      </c>
    </row>
    <row r="950" spans="1:56" ht="13.5" thickBot="1" x14ac:dyDescent="0.35">
      <c r="D950" s="13" t="s">
        <v>437</v>
      </c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AE950" s="14">
        <f>SUM(AE947:AE949)</f>
        <v>0</v>
      </c>
      <c r="AF950" s="14">
        <f>SUM(AF947:AF949)</f>
        <v>0</v>
      </c>
      <c r="AG950" s="14">
        <f t="shared" ref="AG950:AP950" si="769">SUM(AG947:AG949)</f>
        <v>0</v>
      </c>
      <c r="AH950" s="14">
        <f t="shared" si="769"/>
        <v>187.5</v>
      </c>
      <c r="AI950" s="14">
        <f t="shared" si="769"/>
        <v>74204.17</v>
      </c>
      <c r="AJ950" s="14">
        <f t="shared" si="769"/>
        <v>0</v>
      </c>
      <c r="AK950" s="14">
        <f t="shared" si="769"/>
        <v>1267.5</v>
      </c>
      <c r="AL950" s="14">
        <f t="shared" si="769"/>
        <v>74204.17</v>
      </c>
      <c r="AM950" s="14">
        <f t="shared" si="769"/>
        <v>74204.17</v>
      </c>
      <c r="AN950" s="14">
        <f t="shared" si="769"/>
        <v>74204.17</v>
      </c>
      <c r="AO950" s="14">
        <f t="shared" si="769"/>
        <v>74204.17</v>
      </c>
      <c r="AP950" s="14">
        <f t="shared" si="769"/>
        <v>0</v>
      </c>
      <c r="AQ950" s="22">
        <f>SUM(AQ947:AQ949)</f>
        <v>372475.85</v>
      </c>
      <c r="AR950" s="39"/>
      <c r="AS950" s="39"/>
      <c r="AT950" s="39"/>
      <c r="AU950" s="39"/>
      <c r="AV950" s="39"/>
      <c r="AW950" s="39"/>
      <c r="AX950" s="39"/>
      <c r="AY950" s="39"/>
      <c r="AZ950" s="39"/>
      <c r="BA950" s="39"/>
      <c r="BB950" s="39"/>
      <c r="BC950" s="39"/>
      <c r="BD950" s="39"/>
    </row>
    <row r="951" spans="1:56" x14ac:dyDescent="0.3">
      <c r="D951" s="15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</row>
    <row r="952" spans="1:56" ht="15.5" x14ac:dyDescent="0.35">
      <c r="B952" s="1">
        <f>B946+1</f>
        <v>118</v>
      </c>
      <c r="C952" s="1" t="s">
        <v>14</v>
      </c>
      <c r="D952" s="25" t="s">
        <v>438</v>
      </c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</row>
    <row r="953" spans="1:56" x14ac:dyDescent="0.3">
      <c r="D953" s="8" t="s">
        <v>8</v>
      </c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3">
        <v>0</v>
      </c>
      <c r="AP953" s="3">
        <v>0</v>
      </c>
      <c r="AQ953" s="3">
        <f>SUM(AE953:AP953)</f>
        <v>0</v>
      </c>
      <c r="AR953" s="3">
        <v>0</v>
      </c>
      <c r="AS953" s="3">
        <v>0</v>
      </c>
      <c r="AT953" s="3">
        <v>0</v>
      </c>
      <c r="AU953" s="3">
        <v>0</v>
      </c>
      <c r="AV953" s="3">
        <v>0</v>
      </c>
      <c r="AW953" s="3">
        <v>0</v>
      </c>
      <c r="AX953" s="3">
        <v>0</v>
      </c>
      <c r="AY953" s="3">
        <v>0</v>
      </c>
      <c r="AZ953" s="3">
        <v>0</v>
      </c>
      <c r="BA953" s="3">
        <v>0</v>
      </c>
      <c r="BB953" s="3">
        <v>0</v>
      </c>
      <c r="BC953" s="3">
        <v>0</v>
      </c>
      <c r="BD953" s="3">
        <f>SUM(AR953:BC953)</f>
        <v>0</v>
      </c>
    </row>
    <row r="954" spans="1:56" x14ac:dyDescent="0.3">
      <c r="D954" s="8" t="s">
        <v>9</v>
      </c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  <c r="AO954" s="3">
        <v>83.33</v>
      </c>
      <c r="AP954" s="3">
        <v>0</v>
      </c>
      <c r="AQ954" s="3">
        <f>SUM(AE954:AP954)</f>
        <v>83.33</v>
      </c>
      <c r="AR954" s="3">
        <v>250</v>
      </c>
      <c r="AS954" s="3">
        <v>0</v>
      </c>
      <c r="AT954" s="3">
        <v>0</v>
      </c>
      <c r="AU954" s="3">
        <v>0</v>
      </c>
      <c r="AV954" s="3">
        <v>0</v>
      </c>
      <c r="AW954" s="3">
        <v>0</v>
      </c>
      <c r="AX954" s="3">
        <v>0</v>
      </c>
      <c r="AY954" s="3">
        <v>0</v>
      </c>
      <c r="AZ954" s="3">
        <v>0</v>
      </c>
      <c r="BA954" s="3">
        <v>0</v>
      </c>
      <c r="BB954" s="3">
        <v>0</v>
      </c>
      <c r="BC954" s="3">
        <v>0</v>
      </c>
      <c r="BD954" s="3">
        <f>SUM(AR954:BC954)</f>
        <v>250</v>
      </c>
    </row>
    <row r="955" spans="1:56" ht="13.5" thickBot="1" x14ac:dyDescent="0.35">
      <c r="A955" t="s">
        <v>439</v>
      </c>
      <c r="D955" s="8" t="s">
        <v>10</v>
      </c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3">
        <v>0</v>
      </c>
      <c r="AP955" s="3">
        <v>0</v>
      </c>
      <c r="AQ955" s="3">
        <f>SUM(AE955:AP955)</f>
        <v>0</v>
      </c>
      <c r="AR955" s="3">
        <v>0</v>
      </c>
      <c r="AS955" s="3">
        <v>0</v>
      </c>
      <c r="AT955" s="3">
        <v>0</v>
      </c>
      <c r="AU955" s="3">
        <v>0</v>
      </c>
      <c r="AV955" s="3">
        <v>0</v>
      </c>
      <c r="AW955" s="3">
        <v>0</v>
      </c>
      <c r="AX955" s="3">
        <v>0</v>
      </c>
      <c r="AY955" s="3">
        <v>0</v>
      </c>
      <c r="AZ955" s="3">
        <v>0</v>
      </c>
      <c r="BA955" s="3">
        <v>362125</v>
      </c>
      <c r="BB955" s="3">
        <v>362125</v>
      </c>
      <c r="BC955" s="3">
        <v>362125</v>
      </c>
      <c r="BD955" s="3">
        <f>SUM(AR955:BC955)</f>
        <v>1086375</v>
      </c>
    </row>
    <row r="956" spans="1:56" ht="13.5" thickBot="1" x14ac:dyDescent="0.35">
      <c r="D956" s="13" t="s">
        <v>437</v>
      </c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AE956" s="14">
        <f>SUM(AE953:AE955)</f>
        <v>0</v>
      </c>
      <c r="AF956" s="14">
        <f>SUM(AF953:AF955)</f>
        <v>0</v>
      </c>
      <c r="AG956" s="14">
        <f t="shared" ref="AG956:AP956" si="770">SUM(AG953:AG955)</f>
        <v>0</v>
      </c>
      <c r="AH956" s="14">
        <f t="shared" si="770"/>
        <v>0</v>
      </c>
      <c r="AI956" s="14">
        <f t="shared" si="770"/>
        <v>0</v>
      </c>
      <c r="AJ956" s="14">
        <f t="shared" si="770"/>
        <v>0</v>
      </c>
      <c r="AK956" s="14">
        <f t="shared" si="770"/>
        <v>0</v>
      </c>
      <c r="AL956" s="14">
        <f t="shared" si="770"/>
        <v>0</v>
      </c>
      <c r="AM956" s="14">
        <f t="shared" si="770"/>
        <v>0</v>
      </c>
      <c r="AN956" s="14">
        <f t="shared" si="770"/>
        <v>0</v>
      </c>
      <c r="AO956" s="14">
        <f t="shared" si="770"/>
        <v>83.33</v>
      </c>
      <c r="AP956" s="14">
        <f t="shared" si="770"/>
        <v>0</v>
      </c>
      <c r="AQ956" s="22">
        <f>SUM(AQ953:AQ955)</f>
        <v>83.33</v>
      </c>
      <c r="AR956" s="22">
        <f t="shared" ref="AR956:BD956" si="771">SUM(AR953:AR955)</f>
        <v>250</v>
      </c>
      <c r="AS956" s="22">
        <f t="shared" si="771"/>
        <v>0</v>
      </c>
      <c r="AT956" s="22">
        <f t="shared" si="771"/>
        <v>0</v>
      </c>
      <c r="AU956" s="22">
        <f t="shared" si="771"/>
        <v>0</v>
      </c>
      <c r="AV956" s="22">
        <f t="shared" si="771"/>
        <v>0</v>
      </c>
      <c r="AW956" s="22">
        <f t="shared" si="771"/>
        <v>0</v>
      </c>
      <c r="AX956" s="22">
        <f t="shared" si="771"/>
        <v>0</v>
      </c>
      <c r="AY956" s="22">
        <f t="shared" si="771"/>
        <v>0</v>
      </c>
      <c r="AZ956" s="22">
        <f t="shared" si="771"/>
        <v>0</v>
      </c>
      <c r="BA956" s="22">
        <f t="shared" si="771"/>
        <v>362125</v>
      </c>
      <c r="BB956" s="22">
        <f t="shared" si="771"/>
        <v>362125</v>
      </c>
      <c r="BC956" s="22">
        <f t="shared" si="771"/>
        <v>362125</v>
      </c>
      <c r="BD956" s="22">
        <f t="shared" si="771"/>
        <v>1086625</v>
      </c>
    </row>
    <row r="957" spans="1:56" x14ac:dyDescent="0.3">
      <c r="D957" s="15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9"/>
    </row>
    <row r="958" spans="1:56" ht="15.5" x14ac:dyDescent="0.35">
      <c r="B958" s="1">
        <v>121</v>
      </c>
      <c r="C958" s="1" t="s">
        <v>14</v>
      </c>
      <c r="D958" s="25" t="s">
        <v>470</v>
      </c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</row>
    <row r="959" spans="1:56" x14ac:dyDescent="0.3">
      <c r="D959" s="8" t="s">
        <v>8</v>
      </c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AE959" s="12">
        <v>0</v>
      </c>
      <c r="AF959" s="12">
        <v>0</v>
      </c>
      <c r="AG959" s="12">
        <v>0</v>
      </c>
      <c r="AH959" s="12">
        <v>0</v>
      </c>
      <c r="AI959" s="12">
        <v>0</v>
      </c>
      <c r="AJ959" s="12">
        <v>0</v>
      </c>
      <c r="AK959" s="12">
        <v>0</v>
      </c>
      <c r="AL959" s="12">
        <v>0</v>
      </c>
      <c r="AM959" s="12">
        <v>0</v>
      </c>
      <c r="AN959" s="12">
        <v>0</v>
      </c>
      <c r="AO959" s="12">
        <v>0</v>
      </c>
      <c r="AP959" s="12">
        <v>0</v>
      </c>
      <c r="AQ959" s="3">
        <f>SUM(AE959:AP959)</f>
        <v>0</v>
      </c>
      <c r="AR959" s="3">
        <v>0</v>
      </c>
      <c r="AS959" s="3">
        <v>0</v>
      </c>
      <c r="AT959" s="3">
        <v>0</v>
      </c>
      <c r="AU959" s="3">
        <v>0</v>
      </c>
      <c r="AV959" s="3">
        <v>0</v>
      </c>
      <c r="AW959" s="3">
        <v>0</v>
      </c>
      <c r="AX959" s="3">
        <v>0</v>
      </c>
      <c r="AY959" s="3">
        <v>0</v>
      </c>
      <c r="AZ959" s="3">
        <v>0</v>
      </c>
      <c r="BA959" s="3">
        <v>0</v>
      </c>
      <c r="BB959" s="3">
        <v>0</v>
      </c>
      <c r="BC959" s="3">
        <v>0</v>
      </c>
      <c r="BD959" s="3">
        <f>SUM(AR959:BC959)</f>
        <v>0</v>
      </c>
    </row>
    <row r="960" spans="1:56" x14ac:dyDescent="0.3">
      <c r="D960" s="8" t="s">
        <v>9</v>
      </c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AE960" s="11"/>
      <c r="AF960" s="11"/>
      <c r="AG960" s="11"/>
      <c r="AH960" s="11">
        <v>187.5</v>
      </c>
      <c r="AI960" s="11"/>
      <c r="AJ960" s="11"/>
      <c r="AK960" s="11"/>
      <c r="AL960" s="11"/>
      <c r="AM960" s="11"/>
      <c r="AN960" s="11"/>
      <c r="AO960" s="11"/>
      <c r="AP960" s="11"/>
      <c r="AQ960" s="3">
        <f>SUM(AE960:AP960)</f>
        <v>187.5</v>
      </c>
      <c r="AR960" s="3">
        <v>250</v>
      </c>
      <c r="AS960" s="3">
        <v>0</v>
      </c>
      <c r="AT960" s="3">
        <v>0</v>
      </c>
      <c r="AU960" s="3">
        <v>0</v>
      </c>
      <c r="AV960" s="3">
        <v>0</v>
      </c>
      <c r="AW960" s="3">
        <v>0</v>
      </c>
      <c r="AX960" s="3">
        <v>0</v>
      </c>
      <c r="AY960" s="3">
        <v>0</v>
      </c>
      <c r="AZ960" s="3">
        <v>0</v>
      </c>
      <c r="BA960" s="3">
        <v>0</v>
      </c>
      <c r="BB960" s="3">
        <v>0</v>
      </c>
      <c r="BC960" s="3">
        <v>0</v>
      </c>
      <c r="BD960" s="3">
        <f>SUM(AR960:BC960)</f>
        <v>250</v>
      </c>
    </row>
    <row r="961" spans="1:56" ht="13.5" thickBot="1" x14ac:dyDescent="0.35">
      <c r="A961" t="s">
        <v>440</v>
      </c>
      <c r="D961" s="8" t="s">
        <v>10</v>
      </c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AE961" s="12">
        <v>0</v>
      </c>
      <c r="AF961" s="12">
        <v>0</v>
      </c>
      <c r="AG961" s="12">
        <v>0</v>
      </c>
      <c r="AH961" s="12">
        <v>0</v>
      </c>
      <c r="AI961" s="12">
        <v>0</v>
      </c>
      <c r="AJ961" s="12">
        <v>0</v>
      </c>
      <c r="AK961" s="12">
        <v>0</v>
      </c>
      <c r="AL961" s="12">
        <v>0</v>
      </c>
      <c r="AM961" s="12">
        <v>0</v>
      </c>
      <c r="AN961" s="12">
        <v>0</v>
      </c>
      <c r="AO961" s="12">
        <v>0</v>
      </c>
      <c r="AP961" s="12">
        <v>0</v>
      </c>
      <c r="AQ961" s="3">
        <f>SUM(AE961:AP961)</f>
        <v>0</v>
      </c>
      <c r="AR961" s="3">
        <v>34714.58</v>
      </c>
      <c r="AS961" s="3">
        <v>34714.58</v>
      </c>
      <c r="AT961" s="3">
        <v>34714.58</v>
      </c>
      <c r="AU961" s="3">
        <v>34714.58</v>
      </c>
      <c r="AV961" s="3">
        <v>34714.58</v>
      </c>
      <c r="AW961" s="3">
        <v>34714.6</v>
      </c>
      <c r="AX961" s="3">
        <v>69429.17</v>
      </c>
      <c r="AY961" s="3">
        <v>69429.17</v>
      </c>
      <c r="AZ961" s="3">
        <v>69429.17</v>
      </c>
      <c r="BA961" s="3">
        <v>69429.17</v>
      </c>
      <c r="BB961" s="3">
        <v>69429.17</v>
      </c>
      <c r="BC961" s="3">
        <v>69429.149999999994</v>
      </c>
      <c r="BD961" s="3">
        <f>SUM(AR961:BC961)</f>
        <v>624862.5</v>
      </c>
    </row>
    <row r="962" spans="1:56" ht="13.5" thickBot="1" x14ac:dyDescent="0.35">
      <c r="D962" s="13" t="s">
        <v>238</v>
      </c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AE962" s="14">
        <f>SUM(AE959:AE961)</f>
        <v>0</v>
      </c>
      <c r="AF962" s="14">
        <f>SUM(AF959:AF961)</f>
        <v>0</v>
      </c>
      <c r="AG962" s="14">
        <f t="shared" ref="AG962:AP962" si="772">SUM(AG959:AG961)</f>
        <v>0</v>
      </c>
      <c r="AH962" s="14">
        <f t="shared" si="772"/>
        <v>187.5</v>
      </c>
      <c r="AI962" s="14">
        <f t="shared" si="772"/>
        <v>0</v>
      </c>
      <c r="AJ962" s="14">
        <f t="shared" si="772"/>
        <v>0</v>
      </c>
      <c r="AK962" s="14">
        <f t="shared" si="772"/>
        <v>0</v>
      </c>
      <c r="AL962" s="14">
        <f t="shared" si="772"/>
        <v>0</v>
      </c>
      <c r="AM962" s="14">
        <f t="shared" si="772"/>
        <v>0</v>
      </c>
      <c r="AN962" s="14">
        <f t="shared" si="772"/>
        <v>0</v>
      </c>
      <c r="AO962" s="14">
        <f t="shared" si="772"/>
        <v>0</v>
      </c>
      <c r="AP962" s="14">
        <f t="shared" si="772"/>
        <v>0</v>
      </c>
      <c r="AQ962" s="22">
        <f>SUM(AQ959:AQ961)</f>
        <v>187.5</v>
      </c>
      <c r="AR962" s="22">
        <f t="shared" ref="AR962:BD962" si="773">SUM(AR959:AR961)</f>
        <v>34964.58</v>
      </c>
      <c r="AS962" s="22">
        <f t="shared" si="773"/>
        <v>34714.58</v>
      </c>
      <c r="AT962" s="22">
        <f t="shared" si="773"/>
        <v>34714.58</v>
      </c>
      <c r="AU962" s="22">
        <f t="shared" si="773"/>
        <v>34714.58</v>
      </c>
      <c r="AV962" s="22">
        <f t="shared" si="773"/>
        <v>34714.58</v>
      </c>
      <c r="AW962" s="22">
        <f t="shared" si="773"/>
        <v>34714.6</v>
      </c>
      <c r="AX962" s="22">
        <f t="shared" si="773"/>
        <v>69429.17</v>
      </c>
      <c r="AY962" s="22">
        <f t="shared" si="773"/>
        <v>69429.17</v>
      </c>
      <c r="AZ962" s="22">
        <f t="shared" si="773"/>
        <v>69429.17</v>
      </c>
      <c r="BA962" s="22">
        <f t="shared" si="773"/>
        <v>69429.17</v>
      </c>
      <c r="BB962" s="22">
        <f t="shared" si="773"/>
        <v>69429.17</v>
      </c>
      <c r="BC962" s="22">
        <f t="shared" si="773"/>
        <v>69429.149999999994</v>
      </c>
      <c r="BD962" s="22">
        <f t="shared" si="773"/>
        <v>625112.5</v>
      </c>
    </row>
    <row r="963" spans="1:56" x14ac:dyDescent="0.3">
      <c r="D963" s="15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</row>
    <row r="964" spans="1:56" ht="15.5" x14ac:dyDescent="0.35">
      <c r="B964" s="1">
        <f>B958+1</f>
        <v>122</v>
      </c>
      <c r="C964" s="1" t="s">
        <v>14</v>
      </c>
      <c r="D964" s="25" t="s">
        <v>441</v>
      </c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</row>
    <row r="965" spans="1:56" x14ac:dyDescent="0.3">
      <c r="D965" s="8" t="s">
        <v>8</v>
      </c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AE965" s="12">
        <v>0</v>
      </c>
      <c r="AF965" s="12">
        <v>0</v>
      </c>
      <c r="AG965" s="12">
        <v>0</v>
      </c>
      <c r="AH965" s="12">
        <v>0</v>
      </c>
      <c r="AI965" s="12">
        <v>0</v>
      </c>
      <c r="AJ965" s="12">
        <v>0</v>
      </c>
      <c r="AK965" s="12">
        <v>0</v>
      </c>
      <c r="AL965" s="12">
        <v>0</v>
      </c>
      <c r="AM965" s="12">
        <v>0</v>
      </c>
      <c r="AN965" s="12">
        <v>0</v>
      </c>
      <c r="AO965" s="12">
        <v>0</v>
      </c>
      <c r="AP965" s="12">
        <v>0</v>
      </c>
      <c r="AQ965" s="3">
        <f>SUM(AE965:AP965)</f>
        <v>0</v>
      </c>
      <c r="AR965" s="3">
        <v>0</v>
      </c>
      <c r="AS965" s="3">
        <v>0</v>
      </c>
      <c r="AT965" s="3">
        <v>0</v>
      </c>
      <c r="AU965" s="3">
        <v>0</v>
      </c>
      <c r="AV965" s="3">
        <v>0</v>
      </c>
      <c r="AW965" s="3">
        <v>0</v>
      </c>
      <c r="AX965" s="3">
        <v>0</v>
      </c>
      <c r="AY965" s="3">
        <v>0</v>
      </c>
      <c r="AZ965" s="3">
        <v>0</v>
      </c>
      <c r="BA965" s="3">
        <v>0</v>
      </c>
      <c r="BB965" s="3">
        <v>0</v>
      </c>
      <c r="BC965" s="3">
        <v>0</v>
      </c>
      <c r="BD965" s="3">
        <f>SUM(AR965:BC965)</f>
        <v>0</v>
      </c>
    </row>
    <row r="966" spans="1:56" x14ac:dyDescent="0.3">
      <c r="D966" s="8" t="s">
        <v>9</v>
      </c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AE966" s="11"/>
      <c r="AF966" s="11"/>
      <c r="AG966" s="11"/>
      <c r="AH966" s="11"/>
      <c r="AI966" s="11">
        <v>166.67</v>
      </c>
      <c r="AJ966" s="11"/>
      <c r="AK966" s="11"/>
      <c r="AL966" s="11"/>
      <c r="AM966" s="11"/>
      <c r="AN966" s="11"/>
      <c r="AO966" s="11"/>
      <c r="AP966" s="11"/>
      <c r="AQ966" s="3">
        <f>SUM(AE966:AP966)</f>
        <v>166.67</v>
      </c>
      <c r="AR966" s="3">
        <v>250</v>
      </c>
      <c r="AS966" s="3">
        <v>0</v>
      </c>
      <c r="AT966" s="3">
        <v>0</v>
      </c>
      <c r="AU966" s="3">
        <v>0</v>
      </c>
      <c r="AV966" s="3">
        <v>0</v>
      </c>
      <c r="AW966" s="3">
        <v>0</v>
      </c>
      <c r="AX966" s="3">
        <v>0</v>
      </c>
      <c r="AY966" s="3">
        <v>0</v>
      </c>
      <c r="AZ966" s="3">
        <v>0</v>
      </c>
      <c r="BA966" s="3">
        <v>0</v>
      </c>
      <c r="BB966" s="3">
        <v>0</v>
      </c>
      <c r="BC966" s="3">
        <v>0</v>
      </c>
      <c r="BD966" s="3">
        <f>SUM(AR966:BC966)</f>
        <v>250</v>
      </c>
    </row>
    <row r="967" spans="1:56" ht="13.5" thickBot="1" x14ac:dyDescent="0.35">
      <c r="A967" t="s">
        <v>442</v>
      </c>
      <c r="D967" s="8" t="s">
        <v>10</v>
      </c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AE967" s="12">
        <v>0</v>
      </c>
      <c r="AF967" s="12">
        <v>0</v>
      </c>
      <c r="AG967" s="12">
        <v>0</v>
      </c>
      <c r="AH967" s="12">
        <v>0</v>
      </c>
      <c r="AI967" s="12">
        <v>233333.34</v>
      </c>
      <c r="AJ967" s="12">
        <v>166666.67000000001</v>
      </c>
      <c r="AK967" s="12">
        <v>166666.67000000001</v>
      </c>
      <c r="AL967" s="12">
        <v>83333.33</v>
      </c>
      <c r="AM967" s="12">
        <v>125000</v>
      </c>
      <c r="AN967" s="12">
        <v>125000</v>
      </c>
      <c r="AO967" s="12">
        <v>125000</v>
      </c>
      <c r="AP967" s="12">
        <v>125000</v>
      </c>
      <c r="AQ967" s="3">
        <f>SUM(AE967:AP967)</f>
        <v>1150000.01</v>
      </c>
      <c r="AR967" s="3">
        <f>308912.92-183912.92</f>
        <v>124999.99999999997</v>
      </c>
      <c r="AS967" s="3">
        <f>308912.92-183912.92</f>
        <v>124999.99999999997</v>
      </c>
      <c r="AT967" s="3">
        <f t="shared" ref="AT967:AW967" si="774">308912.92-183912.92</f>
        <v>124999.99999999997</v>
      </c>
      <c r="AU967" s="3">
        <f t="shared" si="774"/>
        <v>124999.99999999997</v>
      </c>
      <c r="AV967" s="3">
        <f t="shared" si="774"/>
        <v>124999.99999999997</v>
      </c>
      <c r="AW967" s="3">
        <f t="shared" si="774"/>
        <v>124999.99999999997</v>
      </c>
      <c r="AX967" s="3">
        <f>308912.92-142246.25</f>
        <v>166666.66999999998</v>
      </c>
      <c r="AY967" s="3">
        <f t="shared" ref="AY967:BC967" si="775">308912.92-142246.25</f>
        <v>166666.66999999998</v>
      </c>
      <c r="AZ967" s="3">
        <f t="shared" si="775"/>
        <v>166666.66999999998</v>
      </c>
      <c r="BA967" s="3">
        <f t="shared" si="775"/>
        <v>166666.66999999998</v>
      </c>
      <c r="BB967" s="3">
        <f t="shared" si="775"/>
        <v>166666.66999999998</v>
      </c>
      <c r="BC967" s="3">
        <f t="shared" si="775"/>
        <v>166666.66999999998</v>
      </c>
      <c r="BD967" s="3">
        <f>SUM(AR967:BC967)</f>
        <v>1750000.0199999996</v>
      </c>
    </row>
    <row r="968" spans="1:56" ht="13.5" thickBot="1" x14ac:dyDescent="0.35">
      <c r="D968" s="13" t="s">
        <v>354</v>
      </c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AE968" s="14">
        <f>SUM(AE965:AE967)</f>
        <v>0</v>
      </c>
      <c r="AF968" s="14">
        <f>SUM(AF965:AF967)</f>
        <v>0</v>
      </c>
      <c r="AG968" s="14">
        <f t="shared" ref="AG968:AP968" si="776">SUM(AG965:AG967)</f>
        <v>0</v>
      </c>
      <c r="AH968" s="14">
        <f t="shared" si="776"/>
        <v>0</v>
      </c>
      <c r="AI968" s="14">
        <f t="shared" si="776"/>
        <v>233500.01</v>
      </c>
      <c r="AJ968" s="14">
        <f t="shared" si="776"/>
        <v>166666.67000000001</v>
      </c>
      <c r="AK968" s="14">
        <f t="shared" si="776"/>
        <v>166666.67000000001</v>
      </c>
      <c r="AL968" s="14">
        <f t="shared" si="776"/>
        <v>83333.33</v>
      </c>
      <c r="AM968" s="14">
        <f t="shared" si="776"/>
        <v>125000</v>
      </c>
      <c r="AN968" s="14">
        <f t="shared" si="776"/>
        <v>125000</v>
      </c>
      <c r="AO968" s="14">
        <f t="shared" si="776"/>
        <v>125000</v>
      </c>
      <c r="AP968" s="14">
        <f t="shared" si="776"/>
        <v>125000</v>
      </c>
      <c r="AQ968" s="22">
        <f>SUM(AQ965:AQ967)</f>
        <v>1150166.68</v>
      </c>
      <c r="AR968" s="22">
        <f t="shared" ref="AR968:BD968" si="777">SUM(AR965:AR967)</f>
        <v>125249.99999999997</v>
      </c>
      <c r="AS968" s="22">
        <f t="shared" si="777"/>
        <v>124999.99999999997</v>
      </c>
      <c r="AT968" s="22">
        <f t="shared" si="777"/>
        <v>124999.99999999997</v>
      </c>
      <c r="AU968" s="22">
        <f t="shared" si="777"/>
        <v>124999.99999999997</v>
      </c>
      <c r="AV968" s="22">
        <f t="shared" si="777"/>
        <v>124999.99999999997</v>
      </c>
      <c r="AW968" s="22">
        <f t="shared" si="777"/>
        <v>124999.99999999997</v>
      </c>
      <c r="AX968" s="22">
        <f t="shared" si="777"/>
        <v>166666.66999999998</v>
      </c>
      <c r="AY968" s="22">
        <f t="shared" si="777"/>
        <v>166666.66999999998</v>
      </c>
      <c r="AZ968" s="22">
        <f t="shared" si="777"/>
        <v>166666.66999999998</v>
      </c>
      <c r="BA968" s="22">
        <f t="shared" si="777"/>
        <v>166666.66999999998</v>
      </c>
      <c r="BB968" s="22">
        <f t="shared" si="777"/>
        <v>166666.66999999998</v>
      </c>
      <c r="BC968" s="22">
        <f t="shared" si="777"/>
        <v>166666.66999999998</v>
      </c>
      <c r="BD968" s="22">
        <f t="shared" si="777"/>
        <v>1750250.0199999996</v>
      </c>
    </row>
    <row r="969" spans="1:56" x14ac:dyDescent="0.3">
      <c r="D969" s="15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</row>
    <row r="970" spans="1:56" ht="15.5" x14ac:dyDescent="0.35">
      <c r="B970" s="1">
        <f>B964+1</f>
        <v>123</v>
      </c>
      <c r="C970" s="1" t="s">
        <v>14</v>
      </c>
      <c r="D970" s="25" t="s">
        <v>443</v>
      </c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</row>
    <row r="971" spans="1:56" x14ac:dyDescent="0.3">
      <c r="D971" s="8" t="s">
        <v>8</v>
      </c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AE971" s="12">
        <v>0</v>
      </c>
      <c r="AF971" s="12">
        <v>0</v>
      </c>
      <c r="AG971" s="12">
        <v>0</v>
      </c>
      <c r="AH971" s="12">
        <v>0</v>
      </c>
      <c r="AI971" s="12">
        <v>0</v>
      </c>
      <c r="AJ971" s="12">
        <v>0</v>
      </c>
      <c r="AK971" s="12">
        <v>0</v>
      </c>
      <c r="AL971" s="12">
        <v>0</v>
      </c>
      <c r="AM971" s="12">
        <v>0</v>
      </c>
      <c r="AN971" s="12">
        <v>0</v>
      </c>
      <c r="AO971" s="12">
        <v>0</v>
      </c>
      <c r="AP971" s="12">
        <v>0</v>
      </c>
      <c r="AQ971" s="3">
        <f>SUM(AE971:AP971)</f>
        <v>0</v>
      </c>
      <c r="AR971" s="3">
        <v>0</v>
      </c>
      <c r="AS971" s="3">
        <v>0</v>
      </c>
      <c r="AT971" s="3">
        <v>0</v>
      </c>
      <c r="AU971" s="3">
        <v>0</v>
      </c>
      <c r="AV971" s="3">
        <v>0</v>
      </c>
      <c r="AW971" s="3">
        <v>0</v>
      </c>
      <c r="AX971" s="3">
        <v>0</v>
      </c>
      <c r="AY971" s="3">
        <v>0</v>
      </c>
      <c r="AZ971" s="3">
        <v>0</v>
      </c>
      <c r="BA971" s="3">
        <v>0</v>
      </c>
      <c r="BB971" s="3">
        <v>0</v>
      </c>
      <c r="BC971" s="3">
        <v>0</v>
      </c>
      <c r="BD971" s="3">
        <f>SUM(AR971:BC971)</f>
        <v>0</v>
      </c>
    </row>
    <row r="972" spans="1:56" x14ac:dyDescent="0.3">
      <c r="D972" s="8" t="s">
        <v>9</v>
      </c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AE972" s="11"/>
      <c r="AF972" s="11"/>
      <c r="AG972" s="11"/>
      <c r="AH972" s="11"/>
      <c r="AI972" s="11">
        <v>166.67</v>
      </c>
      <c r="AJ972" s="11"/>
      <c r="AK972" s="11"/>
      <c r="AL972" s="11"/>
      <c r="AM972" s="11"/>
      <c r="AN972" s="11"/>
      <c r="AO972" s="11"/>
      <c r="AP972" s="11"/>
      <c r="AQ972" s="3">
        <f>SUM(AE972:AP972)</f>
        <v>166.67</v>
      </c>
      <c r="AR972" s="3">
        <v>250</v>
      </c>
      <c r="AS972" s="3">
        <v>0</v>
      </c>
      <c r="AT972" s="3">
        <v>0</v>
      </c>
      <c r="AU972" s="3">
        <v>0</v>
      </c>
      <c r="AV972" s="3">
        <v>0</v>
      </c>
      <c r="AW972" s="3">
        <v>0</v>
      </c>
      <c r="AX972" s="3">
        <v>0</v>
      </c>
      <c r="AY972" s="3">
        <v>0</v>
      </c>
      <c r="AZ972" s="3">
        <v>0</v>
      </c>
      <c r="BA972" s="3">
        <v>0</v>
      </c>
      <c r="BB972" s="3">
        <v>0</v>
      </c>
      <c r="BC972" s="3">
        <v>0</v>
      </c>
      <c r="BD972" s="3">
        <f>SUM(AR972:BC972)</f>
        <v>250</v>
      </c>
    </row>
    <row r="973" spans="1:56" ht="13.5" thickBot="1" x14ac:dyDescent="0.35">
      <c r="A973" t="s">
        <v>444</v>
      </c>
      <c r="D973" s="8" t="s">
        <v>10</v>
      </c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AE973" s="12">
        <v>0</v>
      </c>
      <c r="AF973" s="12">
        <v>0</v>
      </c>
      <c r="AG973" s="12">
        <v>0</v>
      </c>
      <c r="AH973" s="12">
        <v>0</v>
      </c>
      <c r="AI973" s="12">
        <v>41835.410000000003</v>
      </c>
      <c r="AJ973" s="12">
        <v>54384.66</v>
      </c>
      <c r="AK973" s="12">
        <v>54384.66</v>
      </c>
      <c r="AL973" s="12">
        <v>54384.66</v>
      </c>
      <c r="AM973" s="12">
        <v>54384.66</v>
      </c>
      <c r="AN973" s="12">
        <v>54384.66</v>
      </c>
      <c r="AO973" s="12">
        <v>54384.66</v>
      </c>
      <c r="AP973" s="12">
        <v>54384.66</v>
      </c>
      <c r="AQ973" s="3">
        <f>SUM(AE973:AP973)</f>
        <v>422528.03</v>
      </c>
      <c r="AR973" s="3">
        <v>54384.66</v>
      </c>
      <c r="AS973" s="3">
        <v>54384.66</v>
      </c>
      <c r="AT973" s="3">
        <v>54384.66</v>
      </c>
      <c r="AU973" s="3">
        <v>54384.66</v>
      </c>
      <c r="AV973" s="3">
        <v>54384.66</v>
      </c>
      <c r="AW973" s="3">
        <v>54384.66</v>
      </c>
      <c r="AX973" s="3">
        <v>54384.66</v>
      </c>
      <c r="AY973" s="3">
        <v>54384.66</v>
      </c>
      <c r="AZ973" s="3">
        <v>54384.66</v>
      </c>
      <c r="BA973" s="3">
        <v>54384.66</v>
      </c>
      <c r="BB973" s="3">
        <v>54384.66</v>
      </c>
      <c r="BC973" s="3">
        <v>54384.66</v>
      </c>
      <c r="BD973" s="3">
        <f>SUM(AR973:BC973)</f>
        <v>652615.92000000027</v>
      </c>
    </row>
    <row r="974" spans="1:56" ht="13.5" thickBot="1" x14ac:dyDescent="0.35">
      <c r="D974" s="13" t="s">
        <v>445</v>
      </c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AE974" s="14">
        <f>SUM(AE971:AE973)</f>
        <v>0</v>
      </c>
      <c r="AF974" s="14">
        <f>SUM(AF971:AF973)</f>
        <v>0</v>
      </c>
      <c r="AG974" s="14">
        <f t="shared" ref="AG974:AP974" si="778">SUM(AG971:AG973)</f>
        <v>0</v>
      </c>
      <c r="AH974" s="14">
        <f t="shared" si="778"/>
        <v>0</v>
      </c>
      <c r="AI974" s="14">
        <f t="shared" si="778"/>
        <v>42002.080000000002</v>
      </c>
      <c r="AJ974" s="14">
        <f t="shared" si="778"/>
        <v>54384.66</v>
      </c>
      <c r="AK974" s="14">
        <f t="shared" si="778"/>
        <v>54384.66</v>
      </c>
      <c r="AL974" s="14">
        <f t="shared" si="778"/>
        <v>54384.66</v>
      </c>
      <c r="AM974" s="14">
        <f t="shared" si="778"/>
        <v>54384.66</v>
      </c>
      <c r="AN974" s="14">
        <f t="shared" si="778"/>
        <v>54384.66</v>
      </c>
      <c r="AO974" s="14">
        <f t="shared" si="778"/>
        <v>54384.66</v>
      </c>
      <c r="AP974" s="14">
        <f t="shared" si="778"/>
        <v>54384.66</v>
      </c>
      <c r="AQ974" s="22">
        <f>SUM(AQ971:AQ973)</f>
        <v>422694.7</v>
      </c>
      <c r="AR974" s="22">
        <f t="shared" ref="AR974:BD974" si="779">SUM(AR971:AR973)</f>
        <v>54634.66</v>
      </c>
      <c r="AS974" s="22">
        <f t="shared" si="779"/>
        <v>54384.66</v>
      </c>
      <c r="AT974" s="22">
        <f t="shared" si="779"/>
        <v>54384.66</v>
      </c>
      <c r="AU974" s="22">
        <f t="shared" si="779"/>
        <v>54384.66</v>
      </c>
      <c r="AV974" s="22">
        <f t="shared" si="779"/>
        <v>54384.66</v>
      </c>
      <c r="AW974" s="22">
        <f t="shared" si="779"/>
        <v>54384.66</v>
      </c>
      <c r="AX974" s="22">
        <f t="shared" si="779"/>
        <v>54384.66</v>
      </c>
      <c r="AY974" s="22">
        <f t="shared" si="779"/>
        <v>54384.66</v>
      </c>
      <c r="AZ974" s="22">
        <f t="shared" si="779"/>
        <v>54384.66</v>
      </c>
      <c r="BA974" s="22">
        <f t="shared" si="779"/>
        <v>54384.66</v>
      </c>
      <c r="BB974" s="22">
        <f t="shared" si="779"/>
        <v>54384.66</v>
      </c>
      <c r="BC974" s="22">
        <f t="shared" si="779"/>
        <v>54384.66</v>
      </c>
      <c r="BD974" s="22">
        <f t="shared" si="779"/>
        <v>652865.92000000027</v>
      </c>
    </row>
    <row r="975" spans="1:56" x14ac:dyDescent="0.3">
      <c r="D975" s="15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9"/>
    </row>
    <row r="976" spans="1:56" ht="15.5" x14ac:dyDescent="0.35">
      <c r="B976" s="1">
        <v>123</v>
      </c>
      <c r="C976" s="1" t="s">
        <v>14</v>
      </c>
      <c r="D976" s="25" t="s">
        <v>446</v>
      </c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9"/>
    </row>
    <row r="977" spans="1:56" x14ac:dyDescent="0.3">
      <c r="D977" s="8" t="s">
        <v>8</v>
      </c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AE977" s="38"/>
      <c r="AF977" s="38"/>
      <c r="AG977" s="38"/>
      <c r="AH977" s="38"/>
      <c r="AI977" s="38"/>
      <c r="AJ977" s="43">
        <v>0</v>
      </c>
      <c r="AK977" s="43">
        <v>0</v>
      </c>
      <c r="AL977" s="43">
        <v>0</v>
      </c>
      <c r="AM977" s="43">
        <v>0</v>
      </c>
      <c r="AN977" s="43">
        <v>0</v>
      </c>
      <c r="AO977" s="43">
        <v>0</v>
      </c>
      <c r="AP977" s="43">
        <v>0</v>
      </c>
      <c r="AQ977" s="44">
        <f>SUM(AJ977:AP977)</f>
        <v>0</v>
      </c>
      <c r="AR977" s="3">
        <v>0</v>
      </c>
      <c r="AS977" s="3">
        <v>0</v>
      </c>
      <c r="AT977" s="3">
        <v>0</v>
      </c>
      <c r="AU977" s="3">
        <v>0</v>
      </c>
      <c r="AV977" s="3">
        <v>0</v>
      </c>
      <c r="AW977" s="3">
        <v>0</v>
      </c>
      <c r="AX977" s="3">
        <v>0</v>
      </c>
      <c r="AY977" s="3">
        <v>0</v>
      </c>
      <c r="AZ977" s="3">
        <v>0</v>
      </c>
      <c r="BA977" s="3">
        <v>0</v>
      </c>
      <c r="BB977" s="3">
        <v>0</v>
      </c>
      <c r="BC977" s="3">
        <v>0</v>
      </c>
      <c r="BD977" s="3">
        <f>SUM(AR977:BC977)</f>
        <v>0</v>
      </c>
    </row>
    <row r="978" spans="1:56" x14ac:dyDescent="0.3">
      <c r="D978" s="8" t="s">
        <v>9</v>
      </c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AE978" s="38"/>
      <c r="AF978" s="38"/>
      <c r="AG978" s="38"/>
      <c r="AH978" s="38"/>
      <c r="AI978" s="38"/>
      <c r="AJ978" s="43">
        <v>0</v>
      </c>
      <c r="AK978" s="43">
        <v>0</v>
      </c>
      <c r="AL978" s="43">
        <v>0</v>
      </c>
      <c r="AM978" s="43">
        <v>0</v>
      </c>
      <c r="AN978" s="43">
        <v>0</v>
      </c>
      <c r="AO978" s="43">
        <v>0</v>
      </c>
      <c r="AP978" s="43">
        <v>0</v>
      </c>
      <c r="AQ978" s="44">
        <f>SUM(AJ978:AP978)</f>
        <v>0</v>
      </c>
      <c r="AR978" s="3">
        <v>250</v>
      </c>
      <c r="AS978" s="3">
        <v>0</v>
      </c>
      <c r="AT978" s="3">
        <v>0</v>
      </c>
      <c r="AU978" s="3">
        <v>0</v>
      </c>
      <c r="AV978" s="3">
        <v>0</v>
      </c>
      <c r="AW978" s="3">
        <v>0</v>
      </c>
      <c r="AX978" s="3">
        <v>0</v>
      </c>
      <c r="AY978" s="3">
        <v>0</v>
      </c>
      <c r="AZ978" s="3">
        <v>0</v>
      </c>
      <c r="BA978" s="3">
        <v>0</v>
      </c>
      <c r="BB978" s="3">
        <v>0</v>
      </c>
      <c r="BC978" s="3">
        <v>0</v>
      </c>
      <c r="BD978" s="3">
        <f>SUM(AR978:BC978)</f>
        <v>250</v>
      </c>
    </row>
    <row r="979" spans="1:56" ht="13.5" thickBot="1" x14ac:dyDescent="0.35">
      <c r="A979" t="s">
        <v>447</v>
      </c>
      <c r="D979" s="8" t="s">
        <v>10</v>
      </c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AE979" s="38"/>
      <c r="AF979" s="38"/>
      <c r="AG979" s="38"/>
      <c r="AH979" s="38"/>
      <c r="AI979" s="38"/>
      <c r="AJ979" s="43">
        <v>22660.19</v>
      </c>
      <c r="AK979" s="43">
        <v>22660.19</v>
      </c>
      <c r="AL979" s="43">
        <v>22660.19</v>
      </c>
      <c r="AM979" s="43">
        <v>22660.19</v>
      </c>
      <c r="AN979" s="43">
        <v>22660.19</v>
      </c>
      <c r="AO979" s="43">
        <v>22660.19</v>
      </c>
      <c r="AP979" s="43">
        <v>22660.19</v>
      </c>
      <c r="AQ979" s="44">
        <f>SUM(AJ979:AP979)</f>
        <v>158621.32999999999</v>
      </c>
      <c r="AR979" s="3">
        <f>12373.57+10286.62</f>
        <v>22660.190000000002</v>
      </c>
      <c r="AS979" s="3">
        <f>12345.71+10314.48</f>
        <v>22660.19</v>
      </c>
      <c r="AT979" s="3">
        <f>12317.77+10342.42</f>
        <v>22660.190000000002</v>
      </c>
      <c r="AU979" s="3">
        <f>12289.76+10370.43</f>
        <v>22660.190000000002</v>
      </c>
      <c r="AV979" s="3">
        <f>12261.67+10398.52</f>
        <v>22660.190000000002</v>
      </c>
      <c r="AW979" s="3">
        <f>12233.51+10426.68</f>
        <v>22660.190000000002</v>
      </c>
      <c r="AX979" s="3">
        <f>12205.27+10454.92</f>
        <v>22660.190000000002</v>
      </c>
      <c r="AY979" s="3">
        <f>12176.96+10483.23</f>
        <v>22660.19</v>
      </c>
      <c r="AZ979" s="3">
        <f>12148.56+10511.63</f>
        <v>22660.19</v>
      </c>
      <c r="BA979" s="3">
        <f>12120.1+10540.09</f>
        <v>22660.190000000002</v>
      </c>
      <c r="BB979" s="3">
        <f>12091.55+10568.64</f>
        <v>22660.19</v>
      </c>
      <c r="BC979" s="3">
        <f>12062.93+10597.26</f>
        <v>22660.190000000002</v>
      </c>
      <c r="BD979" s="3">
        <f>SUM(AR979:BC979)</f>
        <v>271922.28000000003</v>
      </c>
    </row>
    <row r="980" spans="1:56" ht="13.5" thickBot="1" x14ac:dyDescent="0.35">
      <c r="D980" s="13" t="s">
        <v>448</v>
      </c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AJ980" s="14">
        <f>SUM(AJ977:AJ979)</f>
        <v>22660.19</v>
      </c>
      <c r="AK980" s="14">
        <f t="shared" ref="AK980:BD980" si="780">SUM(AK977:AK979)</f>
        <v>22660.19</v>
      </c>
      <c r="AL980" s="14">
        <f t="shared" si="780"/>
        <v>22660.19</v>
      </c>
      <c r="AM980" s="14">
        <f t="shared" si="780"/>
        <v>22660.19</v>
      </c>
      <c r="AN980" s="14">
        <f t="shared" si="780"/>
        <v>22660.19</v>
      </c>
      <c r="AO980" s="14">
        <f t="shared" si="780"/>
        <v>22660.19</v>
      </c>
      <c r="AP980" s="14">
        <f t="shared" si="780"/>
        <v>22660.19</v>
      </c>
      <c r="AQ980" s="22">
        <f t="shared" si="780"/>
        <v>158621.32999999999</v>
      </c>
      <c r="AR980" s="22">
        <f t="shared" si="780"/>
        <v>22910.190000000002</v>
      </c>
      <c r="AS980" s="22">
        <f t="shared" si="780"/>
        <v>22660.19</v>
      </c>
      <c r="AT980" s="22">
        <f t="shared" si="780"/>
        <v>22660.190000000002</v>
      </c>
      <c r="AU980" s="22">
        <f t="shared" si="780"/>
        <v>22660.190000000002</v>
      </c>
      <c r="AV980" s="22">
        <f t="shared" si="780"/>
        <v>22660.190000000002</v>
      </c>
      <c r="AW980" s="22">
        <f t="shared" si="780"/>
        <v>22660.190000000002</v>
      </c>
      <c r="AX980" s="22">
        <f t="shared" si="780"/>
        <v>22660.190000000002</v>
      </c>
      <c r="AY980" s="22">
        <f t="shared" si="780"/>
        <v>22660.19</v>
      </c>
      <c r="AZ980" s="22">
        <f t="shared" si="780"/>
        <v>22660.19</v>
      </c>
      <c r="BA980" s="22">
        <f t="shared" si="780"/>
        <v>22660.190000000002</v>
      </c>
      <c r="BB980" s="22">
        <f t="shared" si="780"/>
        <v>22660.19</v>
      </c>
      <c r="BC980" s="22">
        <f t="shared" si="780"/>
        <v>22660.190000000002</v>
      </c>
      <c r="BD980" s="22">
        <f t="shared" si="780"/>
        <v>272172.28000000003</v>
      </c>
    </row>
    <row r="981" spans="1:56" x14ac:dyDescent="0.3">
      <c r="D981" s="15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</row>
    <row r="982" spans="1:56" ht="15.5" x14ac:dyDescent="0.35">
      <c r="B982" s="1">
        <v>124</v>
      </c>
      <c r="C982" s="1" t="s">
        <v>14</v>
      </c>
      <c r="D982" s="25" t="s">
        <v>472</v>
      </c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</row>
    <row r="983" spans="1:56" x14ac:dyDescent="0.3">
      <c r="D983" s="45" t="s">
        <v>8</v>
      </c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AK983" s="29">
        <v>0</v>
      </c>
      <c r="AL983" s="29">
        <v>0</v>
      </c>
      <c r="AM983" s="29">
        <v>0</v>
      </c>
      <c r="AN983" s="29">
        <v>0</v>
      </c>
      <c r="AO983" s="29">
        <v>0</v>
      </c>
      <c r="AP983" s="29">
        <v>0</v>
      </c>
      <c r="AQ983" s="3">
        <f>SUM(AK983:AP983)</f>
        <v>0</v>
      </c>
      <c r="AR983" s="3">
        <v>0</v>
      </c>
      <c r="AS983" s="3">
        <v>0</v>
      </c>
      <c r="AT983" s="3">
        <v>0</v>
      </c>
      <c r="AU983" s="3">
        <v>0</v>
      </c>
      <c r="AV983" s="3">
        <v>0</v>
      </c>
      <c r="AW983" s="3">
        <v>0</v>
      </c>
      <c r="AX983" s="3">
        <v>0</v>
      </c>
      <c r="AY983" s="3">
        <v>0</v>
      </c>
      <c r="AZ983" s="3">
        <v>0</v>
      </c>
      <c r="BA983" s="3">
        <v>0</v>
      </c>
      <c r="BB983" s="3">
        <v>0</v>
      </c>
      <c r="BC983" s="3">
        <v>0</v>
      </c>
      <c r="BD983" s="3">
        <f>SUM(AR983:BC983)</f>
        <v>0</v>
      </c>
    </row>
    <row r="984" spans="1:56" x14ac:dyDescent="0.3">
      <c r="D984" s="45" t="s">
        <v>9</v>
      </c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AK984" s="29">
        <v>125</v>
      </c>
      <c r="AL984" s="29">
        <v>0</v>
      </c>
      <c r="AM984" s="29">
        <v>0</v>
      </c>
      <c r="AN984" s="29">
        <v>0</v>
      </c>
      <c r="AO984" s="29">
        <v>0</v>
      </c>
      <c r="AP984" s="29">
        <v>0</v>
      </c>
      <c r="AQ984" s="3">
        <f>SUM(AK984:AP984)</f>
        <v>125</v>
      </c>
      <c r="AR984" s="3">
        <v>250</v>
      </c>
      <c r="AS984" s="3">
        <v>0</v>
      </c>
      <c r="AT984" s="3">
        <v>0</v>
      </c>
      <c r="AU984" s="3">
        <v>0</v>
      </c>
      <c r="AV984" s="3">
        <v>0</v>
      </c>
      <c r="AW984" s="3">
        <v>0</v>
      </c>
      <c r="AX984" s="3">
        <v>0</v>
      </c>
      <c r="AY984" s="3">
        <v>0</v>
      </c>
      <c r="AZ984" s="3">
        <v>0</v>
      </c>
      <c r="BA984" s="3">
        <v>0</v>
      </c>
      <c r="BB984" s="3">
        <v>0</v>
      </c>
      <c r="BC984" s="3">
        <v>0</v>
      </c>
      <c r="BD984" s="3">
        <f>SUM(AR984:BC984)</f>
        <v>250</v>
      </c>
    </row>
    <row r="985" spans="1:56" ht="13.5" thickBot="1" x14ac:dyDescent="0.35">
      <c r="A985" t="s">
        <v>449</v>
      </c>
      <c r="D985" s="45" t="s">
        <v>10</v>
      </c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AK985" s="29">
        <v>0</v>
      </c>
      <c r="AL985" s="29">
        <v>0</v>
      </c>
      <c r="AM985" s="29">
        <v>0</v>
      </c>
      <c r="AN985" s="29">
        <v>0</v>
      </c>
      <c r="AO985" s="29">
        <v>0</v>
      </c>
      <c r="AP985" s="29">
        <v>57201.3</v>
      </c>
      <c r="AQ985" s="3">
        <f>SUM(AK985:AP985)</f>
        <v>57201.3</v>
      </c>
      <c r="AR985" s="3">
        <f>132735.94-75534.64</f>
        <v>57201.3</v>
      </c>
      <c r="AS985" s="3">
        <f t="shared" ref="AS985:AU985" si="781">132735.94-75534.64</f>
        <v>57201.3</v>
      </c>
      <c r="AT985" s="3">
        <f t="shared" si="781"/>
        <v>57201.3</v>
      </c>
      <c r="AU985" s="3">
        <f t="shared" si="781"/>
        <v>57201.3</v>
      </c>
      <c r="AV985" s="3">
        <f>132735.93-75534.62</f>
        <v>57201.31</v>
      </c>
      <c r="AW985" s="3">
        <f>132735.94-75534.64</f>
        <v>57201.3</v>
      </c>
      <c r="AX985" s="3">
        <f t="shared" ref="AX985:BA985" si="782">132735.94-75534.64</f>
        <v>57201.3</v>
      </c>
      <c r="AY985" s="3">
        <f t="shared" si="782"/>
        <v>57201.3</v>
      </c>
      <c r="AZ985" s="3">
        <f t="shared" si="782"/>
        <v>57201.3</v>
      </c>
      <c r="BA985" s="3">
        <f t="shared" si="782"/>
        <v>57201.3</v>
      </c>
      <c r="BB985" s="3">
        <f>132735.93-75534.62</f>
        <v>57201.31</v>
      </c>
      <c r="BC985" s="3">
        <f>15000+132735.94</f>
        <v>147735.94</v>
      </c>
      <c r="BD985" s="3">
        <f>SUM(AR985:BC985)</f>
        <v>776950.26</v>
      </c>
    </row>
    <row r="986" spans="1:56" ht="13.5" thickBot="1" x14ac:dyDescent="0.35">
      <c r="D986" s="46" t="s">
        <v>450</v>
      </c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AK986" s="22">
        <f t="shared" ref="AK986:BD986" si="783">SUM(AK983:AK985)</f>
        <v>125</v>
      </c>
      <c r="AL986" s="22">
        <f t="shared" si="783"/>
        <v>0</v>
      </c>
      <c r="AM986" s="22">
        <f t="shared" si="783"/>
        <v>0</v>
      </c>
      <c r="AN986" s="22">
        <f t="shared" si="783"/>
        <v>0</v>
      </c>
      <c r="AO986" s="22">
        <f t="shared" si="783"/>
        <v>0</v>
      </c>
      <c r="AP986" s="22">
        <f t="shared" si="783"/>
        <v>57201.3</v>
      </c>
      <c r="AQ986" s="47">
        <f t="shared" si="783"/>
        <v>57326.3</v>
      </c>
      <c r="AR986" s="22">
        <f t="shared" si="783"/>
        <v>57451.3</v>
      </c>
      <c r="AS986" s="22">
        <f t="shared" si="783"/>
        <v>57201.3</v>
      </c>
      <c r="AT986" s="22">
        <f t="shared" si="783"/>
        <v>57201.3</v>
      </c>
      <c r="AU986" s="22">
        <f t="shared" si="783"/>
        <v>57201.3</v>
      </c>
      <c r="AV986" s="22">
        <f t="shared" si="783"/>
        <v>57201.31</v>
      </c>
      <c r="AW986" s="22">
        <f t="shared" si="783"/>
        <v>57201.3</v>
      </c>
      <c r="AX986" s="22">
        <f t="shared" si="783"/>
        <v>57201.3</v>
      </c>
      <c r="AY986" s="22">
        <f t="shared" si="783"/>
        <v>57201.3</v>
      </c>
      <c r="AZ986" s="22">
        <f t="shared" si="783"/>
        <v>57201.3</v>
      </c>
      <c r="BA986" s="22">
        <f t="shared" si="783"/>
        <v>57201.3</v>
      </c>
      <c r="BB986" s="22">
        <f t="shared" si="783"/>
        <v>57201.31</v>
      </c>
      <c r="BC986" s="22">
        <f t="shared" si="783"/>
        <v>147735.94</v>
      </c>
      <c r="BD986" s="22">
        <f t="shared" si="783"/>
        <v>777200.26</v>
      </c>
    </row>
    <row r="987" spans="1:56" x14ac:dyDescent="0.3">
      <c r="D987" s="15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</row>
    <row r="988" spans="1:56" ht="15.5" x14ac:dyDescent="0.35">
      <c r="B988" s="1">
        <v>125</v>
      </c>
      <c r="C988" s="1" t="s">
        <v>14</v>
      </c>
      <c r="D988" s="25" t="s">
        <v>451</v>
      </c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</row>
    <row r="989" spans="1:56" x14ac:dyDescent="0.3">
      <c r="D989" s="45" t="s">
        <v>8</v>
      </c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AK989" s="3">
        <v>0</v>
      </c>
      <c r="AL989" s="3">
        <v>0</v>
      </c>
      <c r="AM989" s="3">
        <v>0</v>
      </c>
      <c r="AN989" s="3">
        <v>0</v>
      </c>
      <c r="AO989" s="3">
        <v>0</v>
      </c>
      <c r="AP989" s="3">
        <v>0</v>
      </c>
      <c r="AQ989" s="3">
        <f>SUM(AK989:AP989)</f>
        <v>0</v>
      </c>
      <c r="AR989" s="3">
        <v>0</v>
      </c>
      <c r="AS989" s="3">
        <v>0</v>
      </c>
      <c r="AT989" s="3">
        <v>0</v>
      </c>
      <c r="AU989" s="3">
        <v>0</v>
      </c>
      <c r="AV989" s="3">
        <v>0</v>
      </c>
      <c r="AW989" s="3">
        <v>0</v>
      </c>
      <c r="AX989" s="3">
        <v>0</v>
      </c>
      <c r="AY989" s="3">
        <v>0</v>
      </c>
      <c r="AZ989" s="3">
        <v>0</v>
      </c>
      <c r="BA989" s="3">
        <v>0</v>
      </c>
      <c r="BB989" s="3">
        <v>0</v>
      </c>
      <c r="BC989" s="3">
        <v>0</v>
      </c>
      <c r="BD989" s="3">
        <f>SUM(AR989:BC989)</f>
        <v>0</v>
      </c>
    </row>
    <row r="990" spans="1:56" x14ac:dyDescent="0.3">
      <c r="D990" s="45" t="s">
        <v>9</v>
      </c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AK990" s="3">
        <v>125</v>
      </c>
      <c r="AL990" s="3">
        <v>0</v>
      </c>
      <c r="AM990" s="3">
        <v>0</v>
      </c>
      <c r="AN990" s="3">
        <v>0</v>
      </c>
      <c r="AO990" s="3">
        <v>0</v>
      </c>
      <c r="AP990" s="3">
        <v>0</v>
      </c>
      <c r="AQ990" s="3">
        <f>SUM(AK990:AP990)</f>
        <v>125</v>
      </c>
      <c r="AR990" s="3">
        <v>250</v>
      </c>
      <c r="AS990" s="3">
        <v>0</v>
      </c>
      <c r="AT990" s="3">
        <v>0</v>
      </c>
      <c r="AU990" s="3">
        <v>0</v>
      </c>
      <c r="AV990" s="3">
        <v>0</v>
      </c>
      <c r="AW990" s="3">
        <v>0</v>
      </c>
      <c r="AX990" s="3">
        <v>0</v>
      </c>
      <c r="AY990" s="3">
        <v>0</v>
      </c>
      <c r="AZ990" s="3">
        <v>0</v>
      </c>
      <c r="BA990" s="3">
        <v>0</v>
      </c>
      <c r="BB990" s="3">
        <v>0</v>
      </c>
      <c r="BC990" s="3">
        <v>0</v>
      </c>
      <c r="BD990" s="3">
        <f>SUM(AR990:BC990)</f>
        <v>250</v>
      </c>
    </row>
    <row r="991" spans="1:56" ht="13.5" thickBot="1" x14ac:dyDescent="0.35">
      <c r="A991" t="s">
        <v>452</v>
      </c>
      <c r="D991" s="45" t="s">
        <v>10</v>
      </c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AK991" s="28">
        <v>32938.06</v>
      </c>
      <c r="AL991" s="3">
        <v>30813.02</v>
      </c>
      <c r="AM991" s="3">
        <v>32938.06</v>
      </c>
      <c r="AN991" s="3">
        <v>31875.54</v>
      </c>
      <c r="AO991" s="3">
        <v>32938.06</v>
      </c>
      <c r="AP991" s="3">
        <v>31875.54</v>
      </c>
      <c r="AQ991" s="3">
        <f>SUM(AK991:AP991)</f>
        <v>193378.28</v>
      </c>
      <c r="AR991" s="3">
        <v>32938.06</v>
      </c>
      <c r="AS991" s="3">
        <v>32938.06</v>
      </c>
      <c r="AT991" s="3">
        <v>31875.54</v>
      </c>
      <c r="AU991" s="3">
        <v>32938.06</v>
      </c>
      <c r="AV991" s="3">
        <v>31875.54</v>
      </c>
      <c r="AW991" s="3">
        <f>8075.43+32938.06</f>
        <v>41013.49</v>
      </c>
      <c r="AX991" s="3">
        <f>8117.99+32895.5</f>
        <v>41013.49</v>
      </c>
      <c r="AY991" s="3">
        <f>11340.07+29673.42</f>
        <v>41013.49</v>
      </c>
      <c r="AZ991" s="3">
        <f>8220.68+32792.81</f>
        <v>41013.49</v>
      </c>
      <c r="BA991" s="128">
        <f>9320.45+31693.05</f>
        <v>41013.5</v>
      </c>
      <c r="BB991" s="3">
        <f>8313.18+32700.31</f>
        <v>41013.490000000005</v>
      </c>
      <c r="BC991" s="3">
        <f>9410.43+31603.06</f>
        <v>41013.490000000005</v>
      </c>
      <c r="BD991" s="3">
        <f>SUM(AR991:BC991)</f>
        <v>449659.69999999995</v>
      </c>
    </row>
    <row r="992" spans="1:56" ht="13.5" thickBot="1" x14ac:dyDescent="0.35">
      <c r="D992" s="46" t="s">
        <v>453</v>
      </c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AK992" s="47">
        <f>SUM(AK989:AK991)</f>
        <v>33063.06</v>
      </c>
      <c r="AL992" s="47">
        <f t="shared" ref="AL992:BD992" si="784">SUM(AL989:AL991)</f>
        <v>30813.02</v>
      </c>
      <c r="AM992" s="47">
        <f t="shared" si="784"/>
        <v>32938.06</v>
      </c>
      <c r="AN992" s="47">
        <f t="shared" si="784"/>
        <v>31875.54</v>
      </c>
      <c r="AO992" s="47">
        <f t="shared" si="784"/>
        <v>32938.06</v>
      </c>
      <c r="AP992" s="47">
        <f t="shared" si="784"/>
        <v>31875.54</v>
      </c>
      <c r="AQ992" s="47">
        <f t="shared" si="784"/>
        <v>193503.28</v>
      </c>
      <c r="AR992" s="22">
        <f t="shared" si="784"/>
        <v>33188.06</v>
      </c>
      <c r="AS992" s="22">
        <f t="shared" si="784"/>
        <v>32938.06</v>
      </c>
      <c r="AT992" s="22">
        <f t="shared" si="784"/>
        <v>31875.54</v>
      </c>
      <c r="AU992" s="22">
        <f t="shared" si="784"/>
        <v>32938.06</v>
      </c>
      <c r="AV992" s="22">
        <f t="shared" si="784"/>
        <v>31875.54</v>
      </c>
      <c r="AW992" s="22">
        <f t="shared" si="784"/>
        <v>41013.49</v>
      </c>
      <c r="AX992" s="22">
        <f t="shared" si="784"/>
        <v>41013.49</v>
      </c>
      <c r="AY992" s="22">
        <f t="shared" si="784"/>
        <v>41013.49</v>
      </c>
      <c r="AZ992" s="22">
        <f t="shared" si="784"/>
        <v>41013.49</v>
      </c>
      <c r="BA992" s="22">
        <f t="shared" si="784"/>
        <v>41013.5</v>
      </c>
      <c r="BB992" s="22">
        <f t="shared" si="784"/>
        <v>41013.490000000005</v>
      </c>
      <c r="BC992" s="22">
        <f t="shared" si="784"/>
        <v>41013.490000000005</v>
      </c>
      <c r="BD992" s="22">
        <f t="shared" si="784"/>
        <v>449909.69999999995</v>
      </c>
    </row>
    <row r="993" spans="1:56" x14ac:dyDescent="0.3">
      <c r="D993" s="15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</row>
    <row r="994" spans="1:56" s="66" customFormat="1" ht="15.5" x14ac:dyDescent="0.35">
      <c r="B994" s="67">
        <v>126</v>
      </c>
      <c r="C994" s="68"/>
      <c r="D994" s="69" t="s">
        <v>476</v>
      </c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AK994" s="65"/>
      <c r="AL994" s="65"/>
      <c r="AM994" s="65"/>
      <c r="AN994" s="65"/>
      <c r="AO994" s="65"/>
      <c r="AP994" s="65"/>
      <c r="AQ994" s="71"/>
      <c r="AR994" s="71"/>
      <c r="AS994" s="71"/>
      <c r="AT994" s="71"/>
      <c r="AU994" s="71"/>
      <c r="AV994" s="71"/>
      <c r="AW994" s="71"/>
      <c r="AX994" s="71"/>
      <c r="AY994" s="71"/>
      <c r="AZ994" s="71"/>
      <c r="BA994" s="71"/>
      <c r="BB994" s="71"/>
      <c r="BC994" s="71"/>
      <c r="BD994" s="71"/>
    </row>
    <row r="995" spans="1:56" s="66" customFormat="1" x14ac:dyDescent="0.3">
      <c r="B995" s="67"/>
      <c r="C995" s="68"/>
      <c r="D995" s="72" t="s">
        <v>8</v>
      </c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AK995" s="65"/>
      <c r="AL995" s="65"/>
      <c r="AM995" s="65"/>
      <c r="AN995" s="65"/>
      <c r="AO995" s="65"/>
      <c r="AP995" s="65"/>
      <c r="AQ995" s="71"/>
      <c r="AR995" s="71"/>
      <c r="AS995" s="71"/>
      <c r="AT995" s="71"/>
      <c r="AU995" s="65">
        <v>2324.09</v>
      </c>
      <c r="AV995" s="65">
        <v>2324.09</v>
      </c>
      <c r="AW995" s="65">
        <v>2324.09</v>
      </c>
      <c r="AX995" s="65">
        <v>2324.09</v>
      </c>
      <c r="AY995" s="65">
        <v>2324.09</v>
      </c>
      <c r="AZ995" s="65">
        <v>2324.09</v>
      </c>
      <c r="BA995" s="65">
        <v>2324.09</v>
      </c>
      <c r="BB995" s="65">
        <v>2324.09</v>
      </c>
      <c r="BC995" s="65">
        <v>2324.09</v>
      </c>
      <c r="BD995" s="65">
        <f>SUM(AR995:BC995)</f>
        <v>20916.810000000001</v>
      </c>
    </row>
    <row r="996" spans="1:56" s="66" customFormat="1" x14ac:dyDescent="0.3">
      <c r="B996" s="67"/>
      <c r="C996" s="68"/>
      <c r="D996" s="72" t="s">
        <v>9</v>
      </c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AK996" s="65"/>
      <c r="AL996" s="65"/>
      <c r="AM996" s="65"/>
      <c r="AN996" s="65"/>
      <c r="AO996" s="65"/>
      <c r="AP996" s="65"/>
      <c r="AQ996" s="71"/>
      <c r="AR996" s="71"/>
      <c r="AS996" s="71"/>
      <c r="AT996" s="71"/>
      <c r="AU996" s="65">
        <v>229.17</v>
      </c>
      <c r="AV996" s="65">
        <v>0</v>
      </c>
      <c r="AW996" s="65">
        <v>0</v>
      </c>
      <c r="AX996" s="65">
        <v>0</v>
      </c>
      <c r="AY996" s="65">
        <v>0</v>
      </c>
      <c r="AZ996" s="65">
        <v>0</v>
      </c>
      <c r="BA996" s="65">
        <v>0</v>
      </c>
      <c r="BB996" s="65">
        <v>0</v>
      </c>
      <c r="BC996" s="65">
        <v>0</v>
      </c>
      <c r="BD996" s="65">
        <f>SUM(AR996:BC996)</f>
        <v>229.17</v>
      </c>
    </row>
    <row r="997" spans="1:56" s="66" customFormat="1" ht="13.5" thickBot="1" x14ac:dyDescent="0.35">
      <c r="A997" s="66" t="s">
        <v>477</v>
      </c>
      <c r="B997" s="67"/>
      <c r="C997" s="68"/>
      <c r="D997" s="72" t="s">
        <v>10</v>
      </c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AK997" s="65"/>
      <c r="AL997" s="65"/>
      <c r="AM997" s="65"/>
      <c r="AN997" s="65"/>
      <c r="AO997" s="65"/>
      <c r="AP997" s="65"/>
      <c r="AQ997" s="71"/>
      <c r="AR997" s="71"/>
      <c r="AS997" s="71"/>
      <c r="AT997" s="71"/>
      <c r="AU997" s="65">
        <f>35555.56+109809.68</f>
        <v>145365.24</v>
      </c>
      <c r="AV997" s="65">
        <f>35555.56+109809.68</f>
        <v>145365.24</v>
      </c>
      <c r="AW997" s="65">
        <f>35555.56+109809.67</f>
        <v>145365.22999999998</v>
      </c>
      <c r="AX997" s="65">
        <f>35555.56+95027.61</f>
        <v>130583.17</v>
      </c>
      <c r="AY997" s="65">
        <f>35555.56+95027.61</f>
        <v>130583.17</v>
      </c>
      <c r="AZ997" s="65">
        <f>35555.56+95027.61</f>
        <v>130583.17</v>
      </c>
      <c r="BA997" s="65">
        <f>35555.56+95027.61</f>
        <v>130583.17</v>
      </c>
      <c r="BB997" s="65">
        <f>35555.56+95027.61</f>
        <v>130583.17</v>
      </c>
      <c r="BC997" s="65">
        <f>35555.52+95027.58</f>
        <v>130583.1</v>
      </c>
      <c r="BD997" s="65">
        <f>SUM(AR997:BC997)</f>
        <v>1219594.6600000001</v>
      </c>
    </row>
    <row r="998" spans="1:56" s="66" customFormat="1" ht="13.5" thickBot="1" x14ac:dyDescent="0.35">
      <c r="B998" s="67"/>
      <c r="C998" s="68"/>
      <c r="D998" s="73" t="s">
        <v>478</v>
      </c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AK998" s="65"/>
      <c r="AL998" s="65"/>
      <c r="AM998" s="65"/>
      <c r="AN998" s="65"/>
      <c r="AO998" s="65"/>
      <c r="AP998" s="65"/>
      <c r="AQ998" s="71"/>
      <c r="AR998" s="71"/>
      <c r="AS998" s="71"/>
      <c r="AT998" s="71"/>
      <c r="AU998" s="74">
        <f t="shared" ref="AU998:BD998" si="785">SUM(AU995:AU997)</f>
        <v>147918.5</v>
      </c>
      <c r="AV998" s="74">
        <f t="shared" si="785"/>
        <v>147689.32999999999</v>
      </c>
      <c r="AW998" s="74">
        <f t="shared" si="785"/>
        <v>147689.31999999998</v>
      </c>
      <c r="AX998" s="74">
        <f t="shared" si="785"/>
        <v>132907.26</v>
      </c>
      <c r="AY998" s="74">
        <f t="shared" si="785"/>
        <v>132907.26</v>
      </c>
      <c r="AZ998" s="74">
        <f t="shared" si="785"/>
        <v>132907.26</v>
      </c>
      <c r="BA998" s="74">
        <f t="shared" si="785"/>
        <v>132907.26</v>
      </c>
      <c r="BB998" s="74">
        <f t="shared" si="785"/>
        <v>132907.26</v>
      </c>
      <c r="BC998" s="74">
        <f t="shared" si="785"/>
        <v>132907.19</v>
      </c>
      <c r="BD998" s="74">
        <f t="shared" si="785"/>
        <v>1240740.6400000001</v>
      </c>
    </row>
    <row r="999" spans="1:56" s="66" customFormat="1" x14ac:dyDescent="0.3">
      <c r="B999" s="67"/>
      <c r="C999" s="68"/>
      <c r="D999" s="76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AK999" s="65"/>
      <c r="AL999" s="65"/>
      <c r="AM999" s="65"/>
      <c r="AN999" s="65"/>
      <c r="AO999" s="65"/>
      <c r="AP999" s="65"/>
      <c r="AQ999" s="71"/>
      <c r="AR999" s="71"/>
      <c r="AS999" s="71"/>
      <c r="AT999" s="71"/>
      <c r="AU999" s="71"/>
      <c r="AV999" s="71"/>
      <c r="AW999" s="71"/>
      <c r="AX999" s="71"/>
      <c r="AY999" s="71"/>
      <c r="AZ999" s="71"/>
      <c r="BA999" s="71"/>
      <c r="BB999" s="71"/>
      <c r="BC999" s="71"/>
      <c r="BD999" s="71"/>
    </row>
    <row r="1000" spans="1:56" s="66" customFormat="1" ht="15.5" x14ac:dyDescent="0.35">
      <c r="A1000" s="66" t="s">
        <v>915</v>
      </c>
      <c r="B1000" s="67">
        <v>127</v>
      </c>
      <c r="C1000" s="68"/>
      <c r="D1000" s="69" t="s">
        <v>480</v>
      </c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AQ1000" s="65"/>
      <c r="AR1000" s="65"/>
      <c r="AS1000" s="65"/>
      <c r="AT1000" s="65"/>
      <c r="AU1000" s="65"/>
      <c r="AV1000" s="65"/>
      <c r="AW1000" s="65"/>
      <c r="AX1000" s="65"/>
      <c r="AY1000" s="65"/>
      <c r="AZ1000" s="65"/>
      <c r="BA1000" s="65"/>
      <c r="BB1000" s="65"/>
      <c r="BC1000" s="65"/>
      <c r="BD1000" s="65"/>
    </row>
    <row r="1001" spans="1:56" s="66" customFormat="1" x14ac:dyDescent="0.3">
      <c r="B1001" s="67"/>
      <c r="C1001" s="68"/>
      <c r="D1001" s="72" t="s">
        <v>8</v>
      </c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O1001" s="70"/>
      <c r="P1001" s="70"/>
      <c r="Q1001" s="70"/>
      <c r="AQ1001" s="65"/>
      <c r="AR1001" s="65"/>
      <c r="AS1001" s="65"/>
      <c r="AT1001" s="65"/>
      <c r="AU1001" s="65"/>
      <c r="AV1001" s="65"/>
      <c r="AW1001" s="65">
        <v>0</v>
      </c>
      <c r="AX1001" s="65">
        <v>0</v>
      </c>
      <c r="AY1001" s="65">
        <v>0</v>
      </c>
      <c r="AZ1001" s="65">
        <v>0</v>
      </c>
      <c r="BA1001" s="65">
        <v>0</v>
      </c>
      <c r="BB1001" s="65">
        <v>0</v>
      </c>
      <c r="BC1001" s="65">
        <v>0</v>
      </c>
      <c r="BD1001" s="65">
        <f>SUM(AR1001:BC1001)</f>
        <v>0</v>
      </c>
    </row>
    <row r="1002" spans="1:56" s="66" customFormat="1" x14ac:dyDescent="0.3">
      <c r="B1002" s="67"/>
      <c r="C1002" s="68"/>
      <c r="D1002" s="72" t="s">
        <v>9</v>
      </c>
      <c r="E1002" s="70"/>
      <c r="F1002" s="70"/>
      <c r="G1002" s="70"/>
      <c r="H1002" s="70"/>
      <c r="I1002" s="70"/>
      <c r="J1002" s="70"/>
      <c r="K1002" s="70"/>
      <c r="L1002" s="70"/>
      <c r="M1002" s="70"/>
      <c r="N1002" s="70"/>
      <c r="O1002" s="70"/>
      <c r="P1002" s="70"/>
      <c r="Q1002" s="70"/>
      <c r="AQ1002" s="65"/>
      <c r="AR1002" s="65"/>
      <c r="AS1002" s="65"/>
      <c r="AT1002" s="65"/>
      <c r="AU1002" s="65"/>
      <c r="AV1002" s="65"/>
      <c r="AW1002" s="65">
        <v>93.84</v>
      </c>
      <c r="AX1002" s="65">
        <v>0</v>
      </c>
      <c r="AY1002" s="65">
        <v>0</v>
      </c>
      <c r="AZ1002" s="65">
        <v>0</v>
      </c>
      <c r="BA1002" s="65">
        <v>0</v>
      </c>
      <c r="BB1002" s="65">
        <v>0</v>
      </c>
      <c r="BC1002" s="65">
        <v>0</v>
      </c>
      <c r="BD1002" s="65">
        <f>SUM(AR1002:BC1002)</f>
        <v>93.84</v>
      </c>
    </row>
    <row r="1003" spans="1:56" s="66" customFormat="1" ht="13.5" thickBot="1" x14ac:dyDescent="0.35">
      <c r="B1003" s="67"/>
      <c r="C1003" s="68"/>
      <c r="D1003" s="72" t="s">
        <v>10</v>
      </c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O1003" s="70"/>
      <c r="P1003" s="70"/>
      <c r="Q1003" s="70"/>
      <c r="AQ1003" s="65"/>
      <c r="AR1003" s="65"/>
      <c r="AS1003" s="65"/>
      <c r="AT1003" s="65"/>
      <c r="AU1003" s="65"/>
      <c r="AV1003" s="65"/>
      <c r="AW1003" s="65">
        <v>152830</v>
      </c>
      <c r="AX1003" s="65">
        <v>76415</v>
      </c>
      <c r="AY1003" s="65">
        <v>69020</v>
      </c>
      <c r="AZ1003" s="65">
        <v>76415</v>
      </c>
      <c r="BA1003" s="65">
        <v>73950</v>
      </c>
      <c r="BB1003" s="65">
        <v>76415</v>
      </c>
      <c r="BC1003" s="65">
        <v>73950</v>
      </c>
      <c r="BD1003" s="65">
        <f>SUM(AR1003:BC1003)</f>
        <v>598995</v>
      </c>
    </row>
    <row r="1004" spans="1:56" s="66" customFormat="1" ht="13.5" thickBot="1" x14ac:dyDescent="0.35">
      <c r="B1004" s="67"/>
      <c r="C1004" s="68"/>
      <c r="D1004" s="73" t="s">
        <v>270</v>
      </c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O1004" s="70"/>
      <c r="P1004" s="70"/>
      <c r="Q1004" s="70"/>
      <c r="AQ1004" s="65"/>
      <c r="AR1004" s="65"/>
      <c r="AS1004" s="65"/>
      <c r="AT1004" s="65"/>
      <c r="AU1004" s="65"/>
      <c r="AV1004" s="65"/>
      <c r="AW1004" s="74">
        <f>SUM(AW1001:AW1003)</f>
        <v>152923.84</v>
      </c>
      <c r="AX1004" s="74">
        <f t="shared" ref="AX1004:BC1004" si="786">SUM(AX1001:AX1003)</f>
        <v>76415</v>
      </c>
      <c r="AY1004" s="74">
        <f t="shared" si="786"/>
        <v>69020</v>
      </c>
      <c r="AZ1004" s="74">
        <f t="shared" si="786"/>
        <v>76415</v>
      </c>
      <c r="BA1004" s="74">
        <f t="shared" si="786"/>
        <v>73950</v>
      </c>
      <c r="BB1004" s="74">
        <f t="shared" si="786"/>
        <v>76415</v>
      </c>
      <c r="BC1004" s="74">
        <f t="shared" si="786"/>
        <v>73950</v>
      </c>
      <c r="BD1004" s="74">
        <f t="shared" ref="BD1004" si="787">SUM(BD1001:BD1003)</f>
        <v>599088.84</v>
      </c>
    </row>
    <row r="1005" spans="1:56" s="66" customFormat="1" ht="15.75" customHeight="1" x14ac:dyDescent="0.3">
      <c r="B1005" s="67"/>
      <c r="C1005" s="68"/>
      <c r="D1005" s="76"/>
      <c r="E1005" s="70"/>
      <c r="F1005" s="70"/>
      <c r="G1005" s="70"/>
      <c r="H1005" s="70"/>
      <c r="I1005" s="70"/>
      <c r="J1005" s="70"/>
      <c r="K1005" s="70"/>
      <c r="L1005" s="70"/>
      <c r="M1005" s="70"/>
      <c r="N1005" s="70"/>
      <c r="O1005" s="70"/>
      <c r="P1005" s="70"/>
      <c r="Q1005" s="70"/>
      <c r="AQ1005" s="65"/>
      <c r="AR1005" s="65"/>
      <c r="AS1005" s="65"/>
      <c r="AT1005" s="65"/>
      <c r="AU1005" s="65"/>
      <c r="AV1005" s="65"/>
      <c r="AW1005" s="71"/>
      <c r="AX1005" s="71"/>
      <c r="AY1005" s="71"/>
      <c r="AZ1005" s="71"/>
      <c r="BA1005" s="71"/>
      <c r="BB1005" s="71"/>
      <c r="BC1005" s="71"/>
      <c r="BD1005" s="71"/>
    </row>
    <row r="1006" spans="1:56" s="66" customFormat="1" ht="15.5" x14ac:dyDescent="0.35">
      <c r="A1006" s="66" t="s">
        <v>910</v>
      </c>
      <c r="B1006" s="67">
        <v>128</v>
      </c>
      <c r="C1006" s="68"/>
      <c r="D1006" s="69" t="s">
        <v>917</v>
      </c>
      <c r="E1006" s="70"/>
      <c r="F1006" s="70"/>
      <c r="G1006" s="70"/>
      <c r="H1006" s="70"/>
      <c r="I1006" s="70"/>
      <c r="J1006" s="70"/>
      <c r="K1006" s="70"/>
      <c r="L1006" s="70"/>
      <c r="M1006" s="70"/>
      <c r="N1006" s="70"/>
      <c r="O1006" s="70"/>
      <c r="P1006" s="70"/>
      <c r="Q1006" s="70"/>
      <c r="AQ1006" s="65"/>
      <c r="AR1006" s="65"/>
      <c r="AS1006" s="65"/>
      <c r="AT1006" s="65"/>
      <c r="AU1006" s="65"/>
      <c r="AV1006" s="65"/>
      <c r="AW1006" s="71"/>
      <c r="AX1006" s="71"/>
      <c r="AY1006" s="71"/>
      <c r="AZ1006" s="71"/>
      <c r="BA1006" s="71"/>
      <c r="BB1006" s="71"/>
      <c r="BC1006" s="71"/>
      <c r="BD1006" s="71"/>
    </row>
    <row r="1007" spans="1:56" s="66" customFormat="1" x14ac:dyDescent="0.3">
      <c r="B1007" s="67"/>
      <c r="C1007" s="68"/>
      <c r="D1007" s="72" t="s">
        <v>8</v>
      </c>
      <c r="E1007" s="70"/>
      <c r="F1007" s="70"/>
      <c r="G1007" s="70"/>
      <c r="H1007" s="70"/>
      <c r="I1007" s="70"/>
      <c r="J1007" s="70"/>
      <c r="K1007" s="70"/>
      <c r="L1007" s="70"/>
      <c r="M1007" s="70"/>
      <c r="N1007" s="70"/>
      <c r="O1007" s="70"/>
      <c r="P1007" s="70"/>
      <c r="Q1007" s="70"/>
      <c r="AQ1007" s="65"/>
      <c r="AR1007" s="65"/>
      <c r="AS1007" s="65"/>
      <c r="AT1007" s="65"/>
      <c r="AU1007" s="65"/>
      <c r="AV1007" s="65"/>
      <c r="AW1007" s="71"/>
      <c r="AX1007" s="65">
        <v>649.09</v>
      </c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f>SUM(AR1007:BC1007)</f>
        <v>3894.5400000000004</v>
      </c>
    </row>
    <row r="1008" spans="1:56" s="66" customFormat="1" x14ac:dyDescent="0.3">
      <c r="B1008" s="67"/>
      <c r="C1008" s="68"/>
      <c r="D1008" s="72" t="s">
        <v>9</v>
      </c>
      <c r="E1008" s="70"/>
      <c r="F1008" s="70"/>
      <c r="G1008" s="70"/>
      <c r="H1008" s="70"/>
      <c r="I1008" s="70"/>
      <c r="J1008" s="70"/>
      <c r="K1008" s="70"/>
      <c r="L1008" s="70"/>
      <c r="M1008" s="70"/>
      <c r="N1008" s="70"/>
      <c r="O1008" s="70"/>
      <c r="P1008" s="70"/>
      <c r="Q1008" s="70"/>
      <c r="AQ1008" s="65"/>
      <c r="AR1008" s="65"/>
      <c r="AS1008" s="65"/>
      <c r="AT1008" s="65"/>
      <c r="AU1008" s="65"/>
      <c r="AV1008" s="65"/>
      <c r="AW1008" s="71"/>
      <c r="AX1008" s="65">
        <v>125</v>
      </c>
      <c r="AY1008" s="65">
        <v>0</v>
      </c>
      <c r="AZ1008" s="65">
        <v>0</v>
      </c>
      <c r="BA1008" s="65">
        <v>0</v>
      </c>
      <c r="BB1008" s="65">
        <v>0</v>
      </c>
      <c r="BC1008" s="65">
        <v>0</v>
      </c>
      <c r="BD1008" s="65">
        <f>SUM(AR1008:BC1008)</f>
        <v>125</v>
      </c>
    </row>
    <row r="1009" spans="1:56" s="66" customFormat="1" ht="13.5" thickBot="1" x14ac:dyDescent="0.35">
      <c r="B1009" s="67"/>
      <c r="C1009" s="68"/>
      <c r="D1009" s="72" t="s">
        <v>10</v>
      </c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O1009" s="70"/>
      <c r="P1009" s="70"/>
      <c r="Q1009" s="70"/>
      <c r="AQ1009" s="65"/>
      <c r="AR1009" s="65"/>
      <c r="AS1009" s="65"/>
      <c r="AT1009" s="65"/>
      <c r="AU1009" s="65"/>
      <c r="AV1009" s="65"/>
      <c r="AW1009" s="71"/>
      <c r="AX1009" s="65">
        <v>0</v>
      </c>
      <c r="AY1009" s="65">
        <v>0</v>
      </c>
      <c r="AZ1009" s="65">
        <v>26821.46</v>
      </c>
      <c r="BA1009" s="65">
        <v>26821.46</v>
      </c>
      <c r="BB1009" s="65">
        <v>26821.46</v>
      </c>
      <c r="BC1009" s="65">
        <v>26821.46</v>
      </c>
      <c r="BD1009" s="65">
        <f>SUM(AR1009:BC1009)</f>
        <v>107285.84</v>
      </c>
    </row>
    <row r="1010" spans="1:56" s="66" customFormat="1" ht="13.5" thickBot="1" x14ac:dyDescent="0.35">
      <c r="B1010" s="67"/>
      <c r="C1010" s="68"/>
      <c r="D1010" s="73" t="s">
        <v>70</v>
      </c>
      <c r="E1010" s="70"/>
      <c r="F1010" s="70"/>
      <c r="G1010" s="70"/>
      <c r="H1010" s="70"/>
      <c r="I1010" s="70"/>
      <c r="J1010" s="70"/>
      <c r="K1010" s="70"/>
      <c r="L1010" s="70"/>
      <c r="M1010" s="70"/>
      <c r="N1010" s="70"/>
      <c r="O1010" s="70"/>
      <c r="P1010" s="70"/>
      <c r="Q1010" s="70"/>
      <c r="AQ1010" s="65"/>
      <c r="AR1010" s="65"/>
      <c r="AS1010" s="65"/>
      <c r="AT1010" s="65"/>
      <c r="AU1010" s="65"/>
      <c r="AV1010" s="65"/>
      <c r="AW1010" s="71"/>
      <c r="AX1010" s="74">
        <f t="shared" ref="AX1010:BD1010" si="788">SUM(AX1007:AX1009)</f>
        <v>774.09</v>
      </c>
      <c r="AY1010" s="74">
        <f t="shared" si="788"/>
        <v>649.09</v>
      </c>
      <c r="AZ1010" s="74">
        <f t="shared" si="788"/>
        <v>27470.55</v>
      </c>
      <c r="BA1010" s="74">
        <f t="shared" si="788"/>
        <v>27470.55</v>
      </c>
      <c r="BB1010" s="74">
        <f t="shared" si="788"/>
        <v>27470.55</v>
      </c>
      <c r="BC1010" s="74">
        <f t="shared" si="788"/>
        <v>27470.55</v>
      </c>
      <c r="BD1010" s="74">
        <f t="shared" si="788"/>
        <v>111305.37999999999</v>
      </c>
    </row>
    <row r="1011" spans="1:56" s="66" customFormat="1" x14ac:dyDescent="0.3">
      <c r="B1011" s="67"/>
      <c r="C1011" s="68"/>
      <c r="D1011" s="76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O1011" s="70"/>
      <c r="P1011" s="70"/>
      <c r="Q1011" s="70"/>
      <c r="AQ1011" s="65"/>
      <c r="AR1011" s="65"/>
      <c r="AS1011" s="65"/>
      <c r="AT1011" s="65"/>
      <c r="AU1011" s="65"/>
      <c r="AV1011" s="65"/>
      <c r="AW1011" s="71"/>
      <c r="AX1011" s="71"/>
      <c r="AY1011" s="71"/>
      <c r="AZ1011" s="71"/>
      <c r="BA1011" s="71"/>
      <c r="BB1011" s="71"/>
      <c r="BC1011" s="71"/>
      <c r="BD1011" s="71"/>
    </row>
    <row r="1012" spans="1:56" s="66" customFormat="1" ht="15.5" x14ac:dyDescent="0.35">
      <c r="B1012" s="67">
        <f>+B1006+1</f>
        <v>129</v>
      </c>
      <c r="C1012" s="68"/>
      <c r="D1012" s="69" t="s">
        <v>912</v>
      </c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O1012" s="70"/>
      <c r="P1012" s="70"/>
      <c r="Q1012" s="70"/>
      <c r="AQ1012" s="65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</row>
    <row r="1013" spans="1:56" s="66" customFormat="1" x14ac:dyDescent="0.3">
      <c r="B1013" s="67"/>
      <c r="C1013" s="68"/>
      <c r="D1013" s="72" t="s">
        <v>8</v>
      </c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O1013" s="70"/>
      <c r="P1013" s="70"/>
      <c r="Q1013" s="70"/>
      <c r="AQ1013" s="65"/>
      <c r="AR1013" s="65"/>
      <c r="AS1013" s="65"/>
      <c r="AT1013" s="65"/>
      <c r="AU1013" s="65"/>
      <c r="AV1013" s="65"/>
      <c r="AW1013" s="65"/>
      <c r="AX1013" s="65">
        <v>6394.09</v>
      </c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f>SUM(AR1013:BC1013)</f>
        <v>38364.54</v>
      </c>
    </row>
    <row r="1014" spans="1:56" s="66" customFormat="1" x14ac:dyDescent="0.3">
      <c r="B1014" s="67"/>
      <c r="C1014" s="68"/>
      <c r="D1014" s="72" t="s">
        <v>9</v>
      </c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O1014" s="70"/>
      <c r="P1014" s="70"/>
      <c r="Q1014" s="70"/>
      <c r="AQ1014" s="65"/>
      <c r="AR1014" s="65"/>
      <c r="AS1014" s="65"/>
      <c r="AT1014" s="65"/>
      <c r="AU1014" s="65"/>
      <c r="AV1014" s="65"/>
      <c r="AW1014" s="65"/>
      <c r="AX1014" s="65">
        <v>125</v>
      </c>
      <c r="AY1014" s="65">
        <v>0</v>
      </c>
      <c r="AZ1014" s="65">
        <v>0</v>
      </c>
      <c r="BA1014" s="65">
        <v>0</v>
      </c>
      <c r="BB1014" s="65">
        <v>0</v>
      </c>
      <c r="BC1014" s="65">
        <v>0</v>
      </c>
      <c r="BD1014" s="65">
        <f>SUM(AR1014:BC1014)</f>
        <v>125</v>
      </c>
    </row>
    <row r="1015" spans="1:56" s="66" customFormat="1" ht="13.5" thickBot="1" x14ac:dyDescent="0.35">
      <c r="A1015" s="66" t="s">
        <v>913</v>
      </c>
      <c r="B1015" s="67"/>
      <c r="C1015" s="68"/>
      <c r="D1015" s="72" t="s">
        <v>10</v>
      </c>
      <c r="E1015" s="70"/>
      <c r="F1015" s="70"/>
      <c r="G1015" s="70"/>
      <c r="H1015" s="70"/>
      <c r="I1015" s="70"/>
      <c r="J1015" s="70"/>
      <c r="K1015" s="70"/>
      <c r="L1015" s="70"/>
      <c r="M1015" s="70"/>
      <c r="N1015" s="70"/>
      <c r="O1015" s="70"/>
      <c r="P1015" s="70"/>
      <c r="Q1015" s="70"/>
      <c r="AQ1015" s="65"/>
      <c r="AR1015" s="65"/>
      <c r="AS1015" s="65"/>
      <c r="AT1015" s="65"/>
      <c r="AU1015" s="65"/>
      <c r="AV1015" s="65"/>
      <c r="AW1015" s="65"/>
      <c r="AX1015" s="65">
        <v>305153</v>
      </c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305152.98</v>
      </c>
      <c r="BD1015" s="65">
        <f>SUM(AR1015:BC1015)</f>
        <v>1830917.98</v>
      </c>
    </row>
    <row r="1016" spans="1:56" s="66" customFormat="1" ht="13.5" thickBot="1" x14ac:dyDescent="0.35">
      <c r="B1016" s="67"/>
      <c r="C1016" s="68"/>
      <c r="D1016" s="73" t="s">
        <v>914</v>
      </c>
      <c r="E1016" s="70"/>
      <c r="F1016" s="70"/>
      <c r="G1016" s="70"/>
      <c r="H1016" s="70"/>
      <c r="I1016" s="70"/>
      <c r="J1016" s="70"/>
      <c r="K1016" s="70"/>
      <c r="L1016" s="70"/>
      <c r="M1016" s="70"/>
      <c r="N1016" s="70"/>
      <c r="O1016" s="70"/>
      <c r="P1016" s="70"/>
      <c r="Q1016" s="70"/>
      <c r="AQ1016" s="65"/>
      <c r="AR1016" s="65"/>
      <c r="AS1016" s="65"/>
      <c r="AT1016" s="65"/>
      <c r="AU1016" s="65"/>
      <c r="AV1016" s="65"/>
      <c r="AW1016" s="71"/>
      <c r="AX1016" s="74">
        <f t="shared" ref="AX1016:BD1016" si="789">SUM(AX1013:AX1015)</f>
        <v>311672.09000000003</v>
      </c>
      <c r="AY1016" s="74">
        <f t="shared" si="789"/>
        <v>311547.09000000003</v>
      </c>
      <c r="AZ1016" s="74">
        <f t="shared" si="789"/>
        <v>311547.09000000003</v>
      </c>
      <c r="BA1016" s="74">
        <f t="shared" si="789"/>
        <v>311547.09000000003</v>
      </c>
      <c r="BB1016" s="74">
        <f t="shared" si="789"/>
        <v>311547.09000000003</v>
      </c>
      <c r="BC1016" s="74">
        <f t="shared" si="789"/>
        <v>311547.07</v>
      </c>
      <c r="BD1016" s="74">
        <f t="shared" si="789"/>
        <v>1869407.52</v>
      </c>
    </row>
    <row r="1017" spans="1:56" s="66" customFormat="1" x14ac:dyDescent="0.3">
      <c r="B1017" s="67"/>
      <c r="C1017" s="68"/>
      <c r="D1017" s="76"/>
      <c r="E1017" s="70"/>
      <c r="F1017" s="70"/>
      <c r="G1017" s="70"/>
      <c r="H1017" s="70"/>
      <c r="I1017" s="70"/>
      <c r="J1017" s="70"/>
      <c r="K1017" s="70"/>
      <c r="L1017" s="70"/>
      <c r="M1017" s="70"/>
      <c r="N1017" s="70"/>
      <c r="O1017" s="70"/>
      <c r="P1017" s="70"/>
      <c r="Q1017" s="70"/>
      <c r="AQ1017" s="65"/>
      <c r="AR1017" s="65"/>
      <c r="AS1017" s="65"/>
      <c r="AT1017" s="65"/>
      <c r="AU1017" s="65"/>
      <c r="AV1017" s="65"/>
      <c r="AW1017" s="71"/>
      <c r="AX1017" s="71"/>
      <c r="AY1017" s="71"/>
      <c r="AZ1017" s="71"/>
      <c r="BA1017" s="71"/>
      <c r="BB1017" s="71"/>
      <c r="BC1017" s="71"/>
      <c r="BD1017" s="71"/>
    </row>
    <row r="1018" spans="1:56" s="66" customFormat="1" ht="15.5" x14ac:dyDescent="0.35">
      <c r="B1018" s="67"/>
      <c r="C1018" s="68"/>
      <c r="D1018" s="69" t="s">
        <v>921</v>
      </c>
      <c r="E1018" s="70"/>
      <c r="F1018" s="70"/>
      <c r="G1018" s="70"/>
      <c r="H1018" s="70"/>
      <c r="I1018" s="70"/>
      <c r="J1018" s="70"/>
      <c r="K1018" s="70"/>
      <c r="L1018" s="70"/>
      <c r="M1018" s="70"/>
      <c r="N1018" s="70"/>
      <c r="O1018" s="70"/>
      <c r="P1018" s="70"/>
      <c r="Q1018" s="70"/>
      <c r="AQ1018" s="65"/>
      <c r="AR1018" s="65"/>
      <c r="AS1018" s="65"/>
      <c r="AT1018" s="65"/>
      <c r="AU1018" s="65"/>
      <c r="AV1018" s="65"/>
      <c r="AW1018" s="71"/>
      <c r="AX1018" s="71"/>
      <c r="AY1018" s="71"/>
      <c r="AZ1018" s="71"/>
      <c r="BA1018" s="71"/>
      <c r="BB1018" s="71"/>
      <c r="BC1018" s="71"/>
      <c r="BD1018" s="71"/>
    </row>
    <row r="1019" spans="1:56" s="66" customFormat="1" x14ac:dyDescent="0.3">
      <c r="B1019" s="67"/>
      <c r="C1019" s="68"/>
      <c r="D1019" s="72" t="s">
        <v>8</v>
      </c>
      <c r="E1019" s="70"/>
      <c r="F1019" s="70"/>
      <c r="G1019" s="70"/>
      <c r="H1019" s="70"/>
      <c r="I1019" s="70"/>
      <c r="J1019" s="70"/>
      <c r="K1019" s="70"/>
      <c r="L1019" s="70"/>
      <c r="M1019" s="70"/>
      <c r="N1019" s="70"/>
      <c r="O1019" s="70"/>
      <c r="P1019" s="70"/>
      <c r="Q1019" s="70"/>
      <c r="AQ1019" s="65"/>
      <c r="AR1019" s="65"/>
      <c r="AS1019" s="65"/>
      <c r="AT1019" s="65"/>
      <c r="AU1019" s="65"/>
      <c r="AV1019" s="65"/>
      <c r="AW1019" s="71"/>
      <c r="AX1019" s="71">
        <v>0</v>
      </c>
      <c r="AY1019" s="71">
        <v>0</v>
      </c>
      <c r="AZ1019" s="71">
        <v>0</v>
      </c>
      <c r="BA1019" s="71">
        <v>0</v>
      </c>
      <c r="BB1019" s="71">
        <v>0</v>
      </c>
      <c r="BC1019" s="71">
        <v>0</v>
      </c>
      <c r="BD1019" s="65">
        <f>SUM(AR1019:BC1019)</f>
        <v>0</v>
      </c>
    </row>
    <row r="1020" spans="1:56" s="66" customFormat="1" x14ac:dyDescent="0.3">
      <c r="B1020" s="67"/>
      <c r="C1020" s="68"/>
      <c r="D1020" s="72" t="s">
        <v>9</v>
      </c>
      <c r="E1020" s="70"/>
      <c r="F1020" s="70"/>
      <c r="G1020" s="70"/>
      <c r="H1020" s="70"/>
      <c r="I1020" s="70"/>
      <c r="J1020" s="70"/>
      <c r="K1020" s="70"/>
      <c r="L1020" s="70"/>
      <c r="M1020" s="70"/>
      <c r="N1020" s="70"/>
      <c r="O1020" s="70"/>
      <c r="P1020" s="70"/>
      <c r="Q1020" s="70"/>
      <c r="AQ1020" s="65"/>
      <c r="AR1020" s="65"/>
      <c r="AS1020" s="65"/>
      <c r="AT1020" s="65"/>
      <c r="AU1020" s="65"/>
      <c r="AV1020" s="65"/>
      <c r="AW1020" s="71"/>
      <c r="AX1020" s="71">
        <v>250</v>
      </c>
      <c r="AY1020" s="71">
        <v>0</v>
      </c>
      <c r="AZ1020" s="71">
        <v>0</v>
      </c>
      <c r="BA1020" s="71">
        <v>0</v>
      </c>
      <c r="BB1020" s="71">
        <v>0</v>
      </c>
      <c r="BC1020" s="71">
        <v>0</v>
      </c>
      <c r="BD1020" s="65">
        <f>SUM(AR1020:BC1020)</f>
        <v>250</v>
      </c>
    </row>
    <row r="1021" spans="1:56" s="66" customFormat="1" ht="13.5" thickBot="1" x14ac:dyDescent="0.35">
      <c r="A1021" s="66" t="s">
        <v>922</v>
      </c>
      <c r="B1021" s="67"/>
      <c r="C1021" s="68"/>
      <c r="D1021" s="72" t="s">
        <v>10</v>
      </c>
      <c r="E1021" s="70"/>
      <c r="F1021" s="70"/>
      <c r="G1021" s="70"/>
      <c r="H1021" s="70"/>
      <c r="I1021" s="70"/>
      <c r="J1021" s="70"/>
      <c r="K1021" s="70"/>
      <c r="L1021" s="70"/>
      <c r="M1021" s="70"/>
      <c r="N1021" s="70"/>
      <c r="O1021" s="70"/>
      <c r="P1021" s="70"/>
      <c r="Q1021" s="70"/>
      <c r="AQ1021" s="65"/>
      <c r="AR1021" s="65"/>
      <c r="AS1021" s="65"/>
      <c r="AT1021" s="65"/>
      <c r="AU1021" s="65"/>
      <c r="AV1021" s="65"/>
      <c r="AW1021" s="71"/>
      <c r="AX1021" s="71">
        <f>14000+46685.63</f>
        <v>60685.63</v>
      </c>
      <c r="AY1021" s="71">
        <f>14000+46608.28</f>
        <v>60608.28</v>
      </c>
      <c r="AZ1021" s="71">
        <f>14000+46530.93</f>
        <v>60530.93</v>
      </c>
      <c r="BA1021" s="71">
        <f>14000+46453.58</f>
        <v>60453.58</v>
      </c>
      <c r="BB1021" s="115">
        <f>14000+46298.88-14000-46298.88+14000+46376.23</f>
        <v>60376.23</v>
      </c>
      <c r="BC1021" s="115">
        <f>15000+46298.88+15000+46216</f>
        <v>122514.88</v>
      </c>
      <c r="BD1021" s="65">
        <f>SUM(AR1021:BC1021)</f>
        <v>425169.52999999997</v>
      </c>
    </row>
    <row r="1022" spans="1:56" s="66" customFormat="1" ht="13.5" thickBot="1" x14ac:dyDescent="0.35">
      <c r="B1022" s="67"/>
      <c r="C1022" s="68"/>
      <c r="D1022" s="73" t="s">
        <v>270</v>
      </c>
      <c r="E1022" s="70"/>
      <c r="F1022" s="70"/>
      <c r="G1022" s="70"/>
      <c r="H1022" s="70"/>
      <c r="I1022" s="70"/>
      <c r="J1022" s="70"/>
      <c r="K1022" s="70"/>
      <c r="L1022" s="70"/>
      <c r="M1022" s="70"/>
      <c r="N1022" s="70"/>
      <c r="O1022" s="70"/>
      <c r="P1022" s="70"/>
      <c r="Q1022" s="70"/>
      <c r="AQ1022" s="65"/>
      <c r="AR1022" s="65"/>
      <c r="AS1022" s="65"/>
      <c r="AT1022" s="65"/>
      <c r="AU1022" s="65"/>
      <c r="AV1022" s="65"/>
      <c r="AW1022" s="71"/>
      <c r="AX1022" s="74">
        <f t="shared" ref="AX1022:BD1022" si="790">SUM(AX1019:AX1021)</f>
        <v>60935.63</v>
      </c>
      <c r="AY1022" s="74">
        <f t="shared" si="790"/>
        <v>60608.28</v>
      </c>
      <c r="AZ1022" s="74">
        <f t="shared" si="790"/>
        <v>60530.93</v>
      </c>
      <c r="BA1022" s="74">
        <f t="shared" si="790"/>
        <v>60453.58</v>
      </c>
      <c r="BB1022" s="74">
        <f t="shared" si="790"/>
        <v>60376.23</v>
      </c>
      <c r="BC1022" s="74">
        <f t="shared" si="790"/>
        <v>122514.88</v>
      </c>
      <c r="BD1022" s="74">
        <f t="shared" si="790"/>
        <v>425419.52999999997</v>
      </c>
    </row>
    <row r="1023" spans="1:56" s="66" customFormat="1" x14ac:dyDescent="0.3">
      <c r="B1023" s="67"/>
      <c r="C1023" s="68"/>
      <c r="D1023" s="76"/>
      <c r="E1023" s="70"/>
      <c r="F1023" s="70"/>
      <c r="G1023" s="70"/>
      <c r="H1023" s="70"/>
      <c r="I1023" s="70"/>
      <c r="J1023" s="70"/>
      <c r="K1023" s="70"/>
      <c r="L1023" s="70"/>
      <c r="M1023" s="70"/>
      <c r="N1023" s="70"/>
      <c r="O1023" s="70"/>
      <c r="P1023" s="70"/>
      <c r="Q1023" s="70"/>
      <c r="AQ1023" s="65"/>
      <c r="AR1023" s="65"/>
      <c r="AS1023" s="65"/>
      <c r="AT1023" s="65"/>
      <c r="AU1023" s="65"/>
      <c r="AV1023" s="65"/>
      <c r="AW1023" s="71"/>
      <c r="AX1023" s="71"/>
      <c r="AY1023" s="71"/>
      <c r="AZ1023" s="71"/>
      <c r="BA1023" s="71"/>
      <c r="BB1023" s="71"/>
      <c r="BC1023" s="71"/>
      <c r="BD1023" s="71"/>
    </row>
    <row r="1024" spans="1:56" ht="15.5" x14ac:dyDescent="0.35">
      <c r="D1024" s="25" t="s">
        <v>454</v>
      </c>
    </row>
    <row r="1025" spans="3:56" ht="15.5" x14ac:dyDescent="0.35">
      <c r="D1025" s="8" t="s">
        <v>455</v>
      </c>
      <c r="E1025" s="48">
        <f t="shared" ref="E1025:P1025" si="791">SUM(E5,E11,E17,E23)+SUM(E29,E35,E41,E47,E53,E59,E65,E71,E77)+SUM(E83,E89,E95,E101,E107,E113,E119,E125,E131,E137,E143,E149,E155,E161,E167,E173)+SUM(E179,E185,E191,E197,E203,E209,E215,E221,E227,E233,E239,E245,E251,E257,E263,E269)+SUM(E275,E281,E287,E293,E299,E305,E311,E317,E323,E329,E335,E341,E347,E353,E359,E365,E371,E377,E383,E389)+SUM(E395,E401,E407,E413,E419,E425,E431,E437,E443,E449,E455,E461,E467,E473,E479,E485,E491,E497,E503,E509,E515,E521,E527,E533,E539,E545,E551,E557)+SUM(E563,E569,E575,E581,E587,E593,E599,E605,E611,E617,E623,E629,E635,E641,E647,E653,E659,E665,E671,E677,E683,E689,E695,E701,E707,E713,E719,E725,E731,E737)+SUM(E743,E749,E755,E761,E767,E773,E779,E785,E791,E797,E803,E809,E815,E821)+SUM(E827,E833,E839,E845,E851,E857)</f>
        <v>39954.819999999992</v>
      </c>
      <c r="F1025" s="48">
        <f t="shared" si="791"/>
        <v>41726.149999999994</v>
      </c>
      <c r="G1025" s="48">
        <f t="shared" si="791"/>
        <v>41726.149999999994</v>
      </c>
      <c r="H1025" s="48">
        <f t="shared" si="791"/>
        <v>41501.979999999996</v>
      </c>
      <c r="I1025" s="48">
        <f t="shared" si="791"/>
        <v>47325.549999999996</v>
      </c>
      <c r="J1025" s="48">
        <f t="shared" si="791"/>
        <v>46460.549999999996</v>
      </c>
      <c r="K1025" s="48">
        <f t="shared" si="791"/>
        <v>46321.409999999996</v>
      </c>
      <c r="L1025" s="48">
        <f t="shared" si="791"/>
        <v>46641.369999999995</v>
      </c>
      <c r="M1025" s="48">
        <f t="shared" si="791"/>
        <v>49477.700000000004</v>
      </c>
      <c r="N1025" s="48">
        <f t="shared" si="791"/>
        <v>49396.19000000001</v>
      </c>
      <c r="O1025" s="48">
        <f t="shared" si="791"/>
        <v>49325.340000000004</v>
      </c>
      <c r="P1025" s="48">
        <f t="shared" si="791"/>
        <v>48434.840000000004</v>
      </c>
      <c r="Q1025" s="48">
        <f>SUM(E1025:P1025)</f>
        <v>548292.04999999993</v>
      </c>
      <c r="R1025" s="48">
        <f t="shared" ref="R1025:AC1025" si="792">SUM(R5,R11,R17,R23)+SUM(R29,R35,R41,R47,R53,R59,R65,R71,R77)+SUM(R83,R89,R95,R101,R107,R113,R119,R125,R131,R137,R143,R149,R155,R161,R167,R173)+SUM(R179,R185,R191,R197,R203,R209,R215,R221,R227,R233,R239,R245,R251,R257,R263,R269)+SUM(R275,R281,R287,R293,R299,R305,R311,R317,R323,R329,R335,R341,R347,R353,R359,R365,R371,R377,R383,R389)+SUM(R395,R401,R407,R413,R419,R425,R431,R437,R443,R449,R455,R461,R467,R473,R479,R485,R491,R497,R503,R509,R515,R521,R527,R533,R539,R545,R551,R557)+SUM(R563,R569,R575,R581,R587,R593,R599,R605,R611,R617,R623,R629,R635,R641,R647,R653,R659,R665,R671,R677,R683,R689,R695,R701,R707,R713,R719,R725,R731,R737)+SUM(R743,R749,R755,R761,R767,R773,R779,R785,R791,R797,R803,R809,R815,R821)+SUM(R827,R833,R839,R845,R851,R857,R863,R869,R875,R881,R887,R893,R899,R905,R911,R917,R923,R929)</f>
        <v>48230.68</v>
      </c>
      <c r="S1025" s="48">
        <f t="shared" si="792"/>
        <v>48208.18</v>
      </c>
      <c r="T1025" s="48">
        <f t="shared" si="792"/>
        <v>48980.43</v>
      </c>
      <c r="U1025" s="48">
        <f t="shared" si="792"/>
        <v>48742.93</v>
      </c>
      <c r="V1025" s="48">
        <f t="shared" si="792"/>
        <v>48690.43</v>
      </c>
      <c r="W1025" s="48">
        <f t="shared" si="792"/>
        <v>51458.73</v>
      </c>
      <c r="X1025" s="48">
        <f t="shared" si="792"/>
        <v>49873.46</v>
      </c>
      <c r="Y1025" s="48">
        <f t="shared" si="792"/>
        <v>49540.409999999996</v>
      </c>
      <c r="Z1025" s="48">
        <f t="shared" si="792"/>
        <v>49389.999999999993</v>
      </c>
      <c r="AA1025" s="48">
        <f t="shared" si="792"/>
        <v>52755.33</v>
      </c>
      <c r="AB1025" s="48">
        <f t="shared" si="792"/>
        <v>52665.760000000002</v>
      </c>
      <c r="AC1025" s="48">
        <f t="shared" si="792"/>
        <v>52572.41</v>
      </c>
      <c r="AD1025" s="48">
        <f>SUM(R1025:AC1025)</f>
        <v>601108.75</v>
      </c>
      <c r="AE1025" s="48">
        <f t="shared" ref="AE1025:AI1028" si="793">SUM(AE5,AE11,AE17,AE23)+SUM(AE29,AE35,AE41,AE47,AE53,AE59,AE65,AE71,AE77)+SUM(AE83,AE89,AE95,AE101,AE107,AE113,AE119,AE125,AE131,AE137,AE143,AE149,AE155,AE161,AE167,AE173)+SUM(AE179,AE185,AE191,AE197,AE203,AE209,AE215,AE221,AE227,AE233,AE239,AE245,AE251,AE257,AE263,AE269)+SUM(AE275,AE281,AE287,AE293,AE299,AE305,AE311,AE317,AE323,AE329,AE335,AE341,AE347,AE353,AE359,AE365,AE371,AE377,AE383,AE389)+SUM(AE395,AE401,AE407,AE413,AE419,AE425,AE431,AE437,AE443,AE449,AE455,AE461,AE467,AE473,AE479,AE485,AE491,AE497,AE503,AE509,AE515,AE521,AE527,AE533,AE539,AE545,AE551,AE557)+SUM(AE563,AE569,AE575,AE581,AE587,AE593,AE599,AE605,AE611,AE617,AE623,AE629,AE635,AE641,AE647,AE653,AE659,AE665,AE671,AE677,AE683,AE689,AE695,AE701,AE707,AE713,AE719,AE725,AE731,AE737)+SUM(AE743,AE749,AE755,AE761,AE767,AE773,AE779,AE785,AE791,AE797,AE803,AE809,AE815,AE821)+SUM(AE827,AE833,AE839,AE845,AE851,AE857,AE863,AE869,AE875,AE881,AE887,AE893,AE899,AE905,AE911,AE917,AE923,AE929,AE935,AE941,AE947,AE959,AE965,AE971)</f>
        <v>52151.98</v>
      </c>
      <c r="AF1025" s="48">
        <f t="shared" si="793"/>
        <v>52128.65</v>
      </c>
      <c r="AG1025" s="48">
        <f t="shared" si="793"/>
        <v>52628.01</v>
      </c>
      <c r="AH1025" s="48">
        <f t="shared" si="793"/>
        <v>52550.92</v>
      </c>
      <c r="AI1025" s="48">
        <f t="shared" si="793"/>
        <v>52380.75</v>
      </c>
      <c r="AJ1025" s="48">
        <f>SUM(AJ5,AJ11,AJ17,AJ23)+SUM(AJ29,AJ35,AJ41,AJ47,AJ53,AJ59,AJ65,AJ71,AJ77)+SUM(AJ83,AJ89,AJ95,AJ101,AJ107,AJ113,AJ119,AJ125,AJ131,AJ137,AJ143,AJ149,AJ155,AJ161,AJ167,AJ173)+SUM(AJ179,AJ185,AJ191,AJ197,AJ203,AJ209,AJ215,AJ221,AJ227,AJ233,AJ239,AJ245,AJ251,AJ257,AJ263,AJ269)+SUM(AJ275,AJ281,AJ287,AJ293,AJ299,AJ305,AJ311,AJ317,AJ323,AJ329,AJ335,AJ341,AJ347,AJ353,AJ359,AJ365,AJ371,AJ377,AJ383,AJ389)+SUM(AJ395,AJ401,AJ407,AJ413,AJ419,AJ425,AJ431,AJ437,AJ443,AJ449,AJ455,AJ461,AJ467,AJ473,AJ479,AJ485,AJ491,AJ497,AJ503,AJ509,AJ515,AJ521,AJ527,AJ533,AJ539,AJ545,AJ551,AJ557)+SUM(AJ563,AJ569,AJ575,AJ581,AJ587,AJ593,AJ599,AJ605,AJ611,AJ617,AJ623,AJ629,AJ635,AJ641,AJ647,AJ653,AJ659,AJ665,AJ671,AJ677,AJ683,AJ689,AJ695,AJ701,AJ707,AJ713,AJ719,AJ725,AJ731,AJ737)+SUM(AJ743,AJ749,AJ755,AJ761,AJ767,AJ773,AJ779,AJ785,AJ791,AJ797,AJ803,AJ809,AJ815,AJ821)+SUM(AJ827,AJ833,AJ839,AJ845,AJ851,AJ857,AJ863,AJ869,AJ875,AJ881,AJ887,AJ893,AJ899,AJ905,AJ911,AJ917,AJ923,AJ929,AJ935,AJ941,AJ947,AJ959,AJ965,AJ971,AJ977)</f>
        <v>52374.5</v>
      </c>
      <c r="AK1025" s="48">
        <f t="shared" ref="AK1025:AN1028" si="794">SUM(AK5,AK11,AK17,AK23)+SUM(AK29,AK35,AK41,AK47,AK53,AK59,AK65,AK71,AK77)+SUM(AK83,AK89,AK95,AK101,AK107,AK113,AK119,AK125,AK131,AK137,AK143,AK149,AK155,AK161,AK167,AK173)+SUM(AK179,AK185,AK191,AK197,AK203,AK209,AK215,AK221,AK227,AK233,AK239,AK245,AK251,AK257,AK263,AK269)+SUM(AK275,AK281,AK287,AK293,AK299,AK305,AK311,AK317,AK323,AK329,AK335,AK341,AK347,AK353,AK359,AK365,AK371,AK377,AK383,AK389)+SUM(AK395,AK401,AK407,AK413,AK419,AK425,AK431,AK437,AK443,AK449,AK455,AK461,AK467,AK473,AK479,AK485,AK491,AK497,AK503,AK509,AK515,AK521,AK527,AK533,AK539,AK545,AK551,AK557)+SUM(AK563,AK569,AK575,AK581,AK587,AK593,AK599,AK605,AK611,AK617,AK623,AK629,AK635,AK641,AK647,AK653,AK659,AK665,AK671,AK677,AK683,AK689,AK695,AK701,AK707,AK713,AK719,AK725,AK731,AK737)+SUM(AK743,AK749,AK755,AK761,AK767,AK773,AK779,AK785,AK791,AK797,AK803,AK809,AK815,AK821)+SUM(AK827,AK833,AK839,AK845,AK851,AK857,AK863,AK869,AK875,AK881,AK887,AK893,AK899,AK905,AK911,AK917,AK923,AK929,AK935,AK941,AK947,AK959,AK965,AK971,AK977,AK983,AK989)</f>
        <v>52228.23</v>
      </c>
      <c r="AL1025" s="48">
        <f t="shared" si="794"/>
        <v>52110.729999999996</v>
      </c>
      <c r="AM1025" s="48">
        <f t="shared" si="794"/>
        <v>50662.879999999997</v>
      </c>
      <c r="AN1025" s="48">
        <f t="shared" si="794"/>
        <v>51618.720000000001</v>
      </c>
      <c r="AO1025" s="48">
        <f t="shared" ref="AO1025:AT1027" si="795">SUM(AO5,AO11,AO17,AO23)+SUM(AO29,AO35,AO41,AO47,AO53,AO59,AO65,AO71,AO77)+SUM(AO83,AO89,AO95,AO101,AO107,AO113,AO119,AO125,AO131,AO137,AO143,AO149,AO155,AO161,AO167,AO173)+SUM(AO179,AO185,AO191,AO197,AO203,AO209,AO215,AO221,AO227,AO233,AO239,AO245,AO251,AO257,AO263,AO269)+SUM(AO275,AO281,AO287,AO293,AO299,AO305,AO311,AO317,AO323,AO329,AO335,AO341,AO347,AO353,AO359,AO365,AO371,AO377,AO383,AO389)+SUM(AO395,AO401,AO407,AO413,AO419,AO425,AO431,AO437,AO443,AO449,AO455,AO461,AO467,AO473,AO479,AO485,AO491,AO497,AO503,AO509,AO515,AO521,AO527,AO533,AO539,AO545,AO551,AO557)+SUM(AO563,AO569,AO575,AO581,AO587,AO593,AO599,AO605,AO611,AO617,AO623,AO629,AO635,AO641,AO647,AO653,AO659,AO665,AO671,AO677,AO683,AO689,AO695,AO701,AO707,AO713,AO719,AO725,AO731,AO737)+SUM(AO743,AO749,AO755,AO761,AO767,AO773,AO779,AO785,AO791,AO797,AO803,AO809,AO815,AO821)+SUM(AO827,AO833,AO839,AO845,AO851,AO857,AO863,AO869,AO875,AO881,AO887,AO893,AO899,AO905,AO911,AO917,AO923,AO929,AO935,AO941,AO947,AO959,AO965,AO971,AO977,AO983,AO989,AO953)</f>
        <v>51494.14</v>
      </c>
      <c r="AP1025" s="48">
        <f t="shared" si="795"/>
        <v>51375.81</v>
      </c>
      <c r="AQ1025" s="49">
        <f t="shared" si="795"/>
        <v>623705.32000000007</v>
      </c>
      <c r="AR1025" s="48">
        <f t="shared" si="795"/>
        <v>50957.060000000005</v>
      </c>
      <c r="AS1025" s="49">
        <f t="shared" si="795"/>
        <v>50887.630000000005</v>
      </c>
      <c r="AT1025" s="49">
        <f t="shared" si="795"/>
        <v>50997.3</v>
      </c>
      <c r="AU1025" s="49">
        <f t="shared" ref="AU1025:AV1028" si="796">SUM(AU5,AU11,AU17,AU23)+SUM(AU29,AU35,AU41,AU47,AU53,AU59,AU65,AU71,AU77)+SUM(AU83,AU89,AU95,AU101,AU107,AU113,AU119,AU125,AU131,AU137,AU143,AU149,AU155,AU161,AU167,AU173)+SUM(AU179,AU185,AU191,AU197,AU203,AU209,AU215,AU221,AU227,AU233,AU239,AU245,AU251,AU257,AU263,AU269)+SUM(AU275,AU281,AU287,AU293,AU299,AU305,AU311,AU317,AU323,AU329,AU335,AU341,AU347,AU353,AU359,AU365,AU371,AU377,AU383,AU389)+SUM(AU395,AU401,AU407,AU413,AU419,AU425,AU431,AU437,AU443,AU449,AU455,AU461,AU467,AU473,AU479,AU485,AU491,AU497,AU503,AU509,AU515,AU521,AU527,AU533,AU539,AU545,AU551,AU557)+SUM(AU563,AU569,AU575,AU581,AU587,AU593,AU599,AU605,AU611,AU617,AU623,AU629,AU635,AU641,AU647,AU653,AU659,AU665,AU671,AU677,AU683,AU689,AU695,AU701,AU707,AU713,AU719,AU725,AU731,AU737)+SUM(AU743,AU749,AU755,AU761,AU767,AU773,AU779,AU785,AU791,AU797,AU803,AU809,AU815,AU821)+SUM(AU827,AU833,AU839,AU845,AU851,AU857,AU863,AU869,AU875,AU881,AU887,AU893,AU899,AU905,AU911,AU917,AU923,AU929,AU935,AU941,AU947,AU959,AU965,AU971,AU977,AU983,AU989,AU953,AU995)</f>
        <v>53146.39</v>
      </c>
      <c r="AV1025" s="49">
        <f t="shared" si="796"/>
        <v>53078.879999999997</v>
      </c>
      <c r="AW1025" s="49">
        <f>SUM(AW5,AW11,AW17,AW23)+SUM(AW29,AW35,AW41,AW47,AW53,AW59,AW65,AW71,AW77)+SUM(AW83,AW89,AW95,AW101,AW107,AW113,AW119,AW125,AW131,AW137,AW143,AW149,AW155,AW161,AW167,AW173)+SUM(AW179,AW185,AW191,AW197,AW203,AW209,AW215,AW221,AW227,AW233,AW239,AW245,AW251,AW257,AW263,AW269)+SUM(AW275,AW281,AW287,AW293,AW299,AW305,AW311,AW317,AW323,AW329,AW335,AW341,AW347,AW353,AW359,AW365,AW371,AW377,AW383,AW389)+SUM(AW395,AW401,AW407,AW413,AW419,AW425,AW431,AW437,AW443,AW449,AW455,AW461,AW467,AW473,AW479,AW485,AW491,AW497,AW503,AW509,AW515,AW521,AW527,AW533,AW539,AW545,AW551,AW557)+SUM(AW563,AW569,AW575,AW581,AW587,AW593,AW599,AW605,AW611,AW617,AW623,AW629,AW635,AW641,AW647,AW653,AW659,AW665,AW671,AW677,AW683,AW689,AW695,AW701,AW707,AW713,AW719,AW725,AW731,AW737)+SUM(AW743,AW749,AW755,AW761,AW767,AW773,AW779,AW785,AW791,AW797,AW803,AW809,AW815,AW821)+SUM(AW827,AW833,AW839,AW845,AW851,AW857,AW863,AW869,AW875,AW881,AW887,AW893,AW899,AW905,AW911,AW917,AW923,AW929,AW935,AW941,AW947,AW959,AW965,AW971,AW977,AW983,AW989,AW953,AW995,AW1001)</f>
        <v>51858.46</v>
      </c>
      <c r="AX1025" s="49">
        <f>SUM(AX5,AX11,AX17,AX23)+SUM(AX29,AX35,AX41,AX47,AX53,AX59,AX65,AX71,AX77)+SUM(AX83,AX89,AX95,AX101,AX107,AX113,AX119,AX125,AX131,AX137,AX143,AX149,AX155,AX161,AX167,AX173)+SUM(AX179,AX185,AX191,AX197,AX203,AX209,AX215,AX221,AX227,AX233,AX239,AX245,AX251,AX257,AX263,AX269)+SUM(AX275,AX281,AX287,AX293,AX299,AX305,AX311,AX317,AX323,AX329,AX335,AX341,AX347,AX353,AX359,AX365,AX371,AX377,AX383,AX389)+SUM(AX395,AX401,AX407,AX413,AX419,AX425,AX431,AX437,AX443,AX449,AX455,AX461,AX467,AX473,AX479,AX485,AX491,AX497,AX503,AX509,AX515,AX521,AX527,AX533,AX539,AX545,AX551,AX557)+SUM(AX563,AX569,AX575,AX581,AX587,AX593,AX599,AX605,AX611,AX617,AX623,AX629,AX635,AX641,AX647,AX653,AX659,AX665,AX671,AX677,AX683,AX689,AX695,AX701,AX707,AX713,AX719,AX725,AX731,AX737)+SUM(AX743,AX749,AX755,AX761,AX767,AX773,AX779,AX785,AX791,AX797,AX803,AX809,AX815,AX821)+SUM(AX827,AX833,AX839,AX845,AX851,AX857,AX863,AX869,AX875,AX881,AX887,AX893,AX899,AX905,AX911,AX917,AX923,AX929,AX935,AX941,AX947,AX959,AX965,AX971,AX977,AX983,AX989,AX953,AX995,AX1001,AX1007,AX1013,AX1019)</f>
        <v>58749.560000000005</v>
      </c>
      <c r="AY1025" s="49">
        <f t="shared" ref="AY1025:BC1025" si="797">SUM(AY5,AY11,AY17,AY23)+SUM(AY29,AY35,AY41,AY47,AY53,AY59,AY65,AY71,AY77)+SUM(AY83,AY89,AY95,AY101,AY107,AY113,AY119,AY125,AY131,AY137,AY143,AY149,AY155,AY161,AY167,AY173)+SUM(AY179,AY185,AY191,AY197,AY203,AY209,AY215,AY221,AY227,AY233,AY239,AY245,AY251,AY257,AY263,AY269)+SUM(AY275,AY281,AY287,AY293,AY299,AY305,AY311,AY317,AY323,AY329,AY335,AY341,AY347,AY353,AY359,AY365,AY371,AY377,AY383,AY389)+SUM(AY395,AY401,AY407,AY413,AY419,AY425,AY431,AY437,AY443,AY449,AY455,AY461,AY467,AY473,AY479,AY485,AY491,AY497,AY503,AY509,AY515,AY521,AY527,AY533,AY539,AY545,AY551,AY557)+SUM(AY563,AY569,AY575,AY581,AY587,AY593,AY599,AY605,AY611,AY617,AY623,AY629,AY635,AY641,AY647,AY653,AY659,AY665,AY671,AY677,AY683,AY689,AY695,AY701,AY707,AY713,AY719,AY725,AY731,AY737)+SUM(AY743,AY749,AY755,AY761,AY767,AY773,AY779,AY785,AY791,AY797,AY803,AY809,AY815,AY821)+SUM(AY827,AY833,AY839,AY845,AY851,AY857,AY863,AY869,AY875,AY881,AY887,AY893,AY899,AY905,AY911,AY917,AY923,AY929,AY935,AY941,AY947,AY959,AY965,AY971,AY977,AY983,AY989,AY953,AY995,AY1001,AY1007,AY1013,AY1019)</f>
        <v>58585.39</v>
      </c>
      <c r="AZ1025" s="49">
        <f t="shared" si="797"/>
        <v>58452.89</v>
      </c>
      <c r="BA1025" s="49">
        <f t="shared" si="797"/>
        <v>59373.729999999996</v>
      </c>
      <c r="BB1025" s="49">
        <f t="shared" si="797"/>
        <v>58367.040000000001</v>
      </c>
      <c r="BC1025" s="49">
        <f t="shared" si="797"/>
        <v>58261.62</v>
      </c>
      <c r="BD1025" s="49">
        <f>SUM(AR1025:BC1025)</f>
        <v>662715.95000000007</v>
      </c>
    </row>
    <row r="1026" spans="3:56" ht="15.5" x14ac:dyDescent="0.35">
      <c r="D1026" s="8" t="s">
        <v>456</v>
      </c>
      <c r="E1026" s="48">
        <f t="shared" ref="E1026:P1026" si="798">SUM(E6,E12,E18,E24)+SUM(E30,E36,E42,E48,E54,E60,E66,E72,E78)+SUM(E84,E90,E96,E102,E108,E114,E120,E126,E132,E138,E144,E150,E156,E162,E168,E174)+SUM(E180,E186,E192,E198,E204,E210,E216,E222,E228,E234,E240,E246,E252,E258,E264,E270)+SUM(E276,E282,E288,E294,E300,E306,E312,E318,E324,E330,E336,E342,E348,E354,E360,E366,E372,E378,E384,E390)+SUM(E396,E402,E408,E414,E420,E426,E432,E438,E444,E450,E456,E462,E468,E474,E480,E486,E492,E498,E504,E510,E516,E522,E528,E534,E540,E546,E552,E558)+SUM(E564,E570,E576,E582,E588,E594,E600,E606,E612,E618,E624,E630,E636,E642,E648,E654,E660,E666,E672,E678,E684,E690,E696,E702,E708,E714,E720,E726,E732,E738)+SUM(E744,E750,E756,E762,E768,E774,E780,E786,E792,E798,E804,E810,E816,E822)+SUM(E828,E834,E840,E846,E852,E858)</f>
        <v>28354.17</v>
      </c>
      <c r="F1026" s="48">
        <f t="shared" si="798"/>
        <v>229.17</v>
      </c>
      <c r="G1026" s="48">
        <f t="shared" si="798"/>
        <v>0</v>
      </c>
      <c r="H1026" s="48">
        <f t="shared" si="798"/>
        <v>187.5</v>
      </c>
      <c r="I1026" s="48">
        <f t="shared" si="798"/>
        <v>666.68</v>
      </c>
      <c r="J1026" s="48">
        <f t="shared" si="798"/>
        <v>0</v>
      </c>
      <c r="K1026" s="48">
        <f t="shared" si="798"/>
        <v>375</v>
      </c>
      <c r="L1026" s="48">
        <f t="shared" si="798"/>
        <v>208.34</v>
      </c>
      <c r="M1026" s="48">
        <f t="shared" si="798"/>
        <v>83.33</v>
      </c>
      <c r="N1026" s="48">
        <f t="shared" si="798"/>
        <v>62.5</v>
      </c>
      <c r="O1026" s="48">
        <f t="shared" si="798"/>
        <v>208.35000000000002</v>
      </c>
      <c r="P1026" s="48">
        <f t="shared" si="798"/>
        <v>62.489999999999995</v>
      </c>
      <c r="Q1026" s="48">
        <f>SUM(E1026:P1026)</f>
        <v>30437.53</v>
      </c>
      <c r="R1026" s="48">
        <f t="shared" ref="R1026:AC1026" si="799">SUM(R6,R12,R18,R24)+SUM(R30,R36,R42,R48,R54,R60,R66,R72,R78)+SUM(R84,R90,R96,R102,R108,R114,R120,R126,R132,R138,R144,R150,R156,R162,R168,R174)+SUM(R180,R186,R192,R198,R204,R210,R216,R222,R228,R234,R240,R246,R252,R258,R264,R270)+SUM(R276,R282,R288,R294,R300,R306,R312,R318,R324,R330,R336,R342,R348,R354,R360,R366,R372,R378,R384,R390)+SUM(R396,R402,R408,R414,R420,R426,R432,R438,R444,R450,R456,R462,R468,R474,R480,R486,R492,R498,R504,R510,R516,R522,R528,R534,R540,R546,R552,R558)+SUM(R564,R570,R576,R582,R588,R594,R600,R606,R612,R618,R624,R630,R636,R642,R648,R654,R660,R666,R672,R678,R684,R690,R696,R702,R708,R714,R720,R726,R732,R738)+SUM(R744,R750,R756,R762,R768,R774,R780,R786,R792,R798,R804,R810,R816,R822)+SUM(R828,R834,R840,R846,R852,R858,R864,R870,R876,R882,R888,R894,R900,R906,R912,R918,R924,R930)</f>
        <v>28750</v>
      </c>
      <c r="S1026" s="48">
        <f t="shared" si="799"/>
        <v>0</v>
      </c>
      <c r="T1026" s="48">
        <f t="shared" si="799"/>
        <v>833.32</v>
      </c>
      <c r="U1026" s="48">
        <f t="shared" si="799"/>
        <v>0</v>
      </c>
      <c r="V1026" s="48">
        <f t="shared" si="799"/>
        <v>0</v>
      </c>
      <c r="W1026" s="48">
        <f t="shared" si="799"/>
        <v>437.49</v>
      </c>
      <c r="X1026" s="48">
        <f t="shared" si="799"/>
        <v>0</v>
      </c>
      <c r="Y1026" s="48">
        <f t="shared" si="799"/>
        <v>0</v>
      </c>
      <c r="Z1026" s="48">
        <f t="shared" si="799"/>
        <v>0</v>
      </c>
      <c r="AA1026" s="48">
        <f t="shared" si="799"/>
        <v>62.5</v>
      </c>
      <c r="AB1026" s="48">
        <f t="shared" si="799"/>
        <v>0</v>
      </c>
      <c r="AC1026" s="48">
        <f t="shared" si="799"/>
        <v>20.83</v>
      </c>
      <c r="AD1026" s="48">
        <f>SUM(R1026:AC1026)</f>
        <v>30104.140000000003</v>
      </c>
      <c r="AE1026" s="48">
        <f t="shared" si="793"/>
        <v>29500</v>
      </c>
      <c r="AF1026" s="48">
        <f t="shared" si="793"/>
        <v>0</v>
      </c>
      <c r="AG1026" s="48">
        <f t="shared" si="793"/>
        <v>208.33</v>
      </c>
      <c r="AH1026" s="48">
        <f t="shared" si="793"/>
        <v>562.5</v>
      </c>
      <c r="AI1026" s="48">
        <f t="shared" si="793"/>
        <v>333.34</v>
      </c>
      <c r="AJ1026" s="48">
        <f>SUM(AJ6,AJ12,AJ18,AJ24)+SUM(AJ30,AJ36,AJ42,AJ48,AJ54,AJ60,AJ66,AJ72,AJ78)+SUM(AJ84,AJ90,AJ96,AJ102,AJ108,AJ114,AJ120,AJ126,AJ132,AJ138,AJ144,AJ150,AJ156,AJ162,AJ168,AJ174)+SUM(AJ180,AJ186,AJ192,AJ198,AJ204,AJ210,AJ216,AJ222,AJ228,AJ234,AJ240,AJ246,AJ252,AJ258,AJ264,AJ270)+SUM(AJ276,AJ282,AJ288,AJ294,AJ300,AJ306,AJ312,AJ318,AJ324,AJ330,AJ336,AJ342,AJ348,AJ354,AJ360,AJ366,AJ372,AJ378,AJ384,AJ390)+SUM(AJ396,AJ402,AJ408,AJ414,AJ420,AJ426,AJ432,AJ438,AJ444,AJ450,AJ456,AJ462,AJ468,AJ474,AJ480,AJ486,AJ492,AJ498,AJ504,AJ510,AJ516,AJ522,AJ528,AJ534,AJ540,AJ546,AJ552,AJ558)+SUM(AJ564,AJ570,AJ576,AJ582,AJ588,AJ594,AJ600,AJ606,AJ612,AJ618,AJ624,AJ630,AJ636,AJ642,AJ648,AJ654,AJ660,AJ666,AJ672,AJ678,AJ684,AJ690,AJ696,AJ702,AJ708,AJ714,AJ720,AJ726,AJ732,AJ738)+SUM(AJ744,AJ750,AJ756,AJ762,AJ768,AJ774,AJ780,AJ786,AJ792,AJ798,AJ804,AJ810,AJ816,AJ822)+SUM(AJ828,AJ834,AJ840,AJ846,AJ852,AJ858,AJ864,AJ870,AJ876,AJ882,AJ888,AJ894,AJ900,AJ906,AJ912,AJ918,AJ924,AJ930,AJ936,AJ942,AJ948,AJ960,AJ966,AJ972,AJ978)</f>
        <v>0</v>
      </c>
      <c r="AK1026" s="48">
        <f t="shared" si="794"/>
        <v>250</v>
      </c>
      <c r="AL1026" s="48">
        <f t="shared" si="794"/>
        <v>0</v>
      </c>
      <c r="AM1026" s="48">
        <f t="shared" si="794"/>
        <v>0</v>
      </c>
      <c r="AN1026" s="48">
        <f t="shared" si="794"/>
        <v>0</v>
      </c>
      <c r="AO1026" s="48">
        <f t="shared" si="795"/>
        <v>83.33</v>
      </c>
      <c r="AP1026" s="48">
        <f t="shared" si="795"/>
        <v>0</v>
      </c>
      <c r="AQ1026" s="49">
        <f t="shared" si="795"/>
        <v>30937.5</v>
      </c>
      <c r="AR1026" s="48">
        <f t="shared" si="795"/>
        <v>30750</v>
      </c>
      <c r="AS1026" s="49">
        <f t="shared" si="795"/>
        <v>0</v>
      </c>
      <c r="AT1026" s="49">
        <f t="shared" si="795"/>
        <v>0</v>
      </c>
      <c r="AU1026" s="49">
        <f t="shared" si="796"/>
        <v>229.17</v>
      </c>
      <c r="AV1026" s="49">
        <f t="shared" si="796"/>
        <v>0</v>
      </c>
      <c r="AW1026" s="49">
        <f>SUM(AW6,AW12,AW18,AW24)+SUM(AW30,AW36,AW42,AW48,AW54,AW60,AW66,AW72,AW78)+SUM(AW84,AW90,AW96,AW102,AW108,AW114,AW120,AW126,AW132,AW138,AW144,AW150,AW156,AW162,AW168,AW174)+SUM(AW180,AW186,AW192,AW198,AW204,AW210,AW216,AW222,AW228,AW234,AW240,AW246,AW252,AW258,AW264,AW270)+SUM(AW276,AW282,AW288,AW294,AW300,AW306,AW312,AW318,AW324,AW330,AW336,AW342,AW348,AW354,AW360,AW366,AW372,AW378,AW384,AW390)+SUM(AW396,AW402,AW408,AW414,AW420,AW426,AW432,AW438,AW444,AW450,AW456,AW462,AW468,AW474,AW480,AW486,AW492,AW498,AW504,AW510,AW516,AW522,AW528,AW534,AW540,AW546,AW552,AW558)+SUM(AW564,AW570,AW576,AW582,AW588,AW594,AW600,AW606,AW612,AW618,AW624,AW630,AW636,AW642,AW648,AW654,AW660,AW666,AW672,AW678,AW684,AW690,AW696,AW702,AW708,AW714,AW720,AW726,AW732,AW738)+SUM(AW744,AW750,AW756,AW762,AW768,AW774,AW780,AW786,AW792,AW798,AW804,AW810,AW816,AW822)+SUM(AW828,AW834,AW840,AW846,AW852,AW858,AW864,AW870,AW876,AW882,AW888,AW894,AW900,AW906,AW912,AW918,AW924,AW930,AW936,AW942,AW948,AW960,AW966,AW972,AW978,AW984,AW990,AW954,AW996,AW1002)</f>
        <v>93.84</v>
      </c>
      <c r="AX1026" s="49">
        <f>SUM(AX6,AX12,AX18,AX24)+SUM(AX30,AX36,AX42,AX48,AX54,AX60,AX66,AX72,AX78)+SUM(AX84,AX90,AX96,AX102,AX108,AX114,AX120,AX126,AX132,AX138,AX144,AX150,AX156,AX162,AX168,AX174)+SUM(AX180,AX186,AX192,AX198,AX204,AX210,AX216,AX222,AX228,AX234,AX240,AX246,AX252,AX258,AX264,AX270)+SUM(AX276,AX282,AX288,AX294,AX300,AX306,AX312,AX318,AX324,AX330,AX336,AX342,AX348,AX354,AX360,AX366,AX372,AX378,AX384,AX390)+SUM(AX396,AX402,AX408,AX414,AX420,AX426,AX432,AX438,AX444,AX450,AX456,AX462,AX468,AX474,AX480,AX486,AX492,AX498,AX504,AX510,AX516,AX522,AX528,AX534,AX540,AX546,AX552,AX558)+SUM(AX564,AX570,AX576,AX582,AX588,AX594,AX600,AX606,AX612,AX618,AX624,AX630,AX636,AX642,AX648,AX654,AX660,AX666,AX672,AX678,AX684,AX690,AX696,AX702,AX708,AX714,AX720,AX726,AX732,AX738)+SUM(AX744,AX750,AX756,AX762,AX768,AX774,AX780,AX786,AX792,AX798,AX804,AX810,AX816,AX822)+SUM(AX828,AX834,AX840,AX846,AX852,AX858,AX864,AX870,AX876,AX882,AX888,AX894,AX900,AX906,AX912,AX918,AX924,AX930,AX936,AX942,AX948,AX960,AX966,AX972,AX978,AX984,AX990,AX954,AX996,AX1002,AX1008,AX1014,AX1020)</f>
        <v>500</v>
      </c>
      <c r="AY1026" s="49">
        <f t="shared" ref="AY1026:BC1026" si="800">SUM(AY6,AY12,AY18,AY24)+SUM(AY30,AY36,AY42,AY48,AY54,AY60,AY66,AY72,AY78)+SUM(AY84,AY90,AY96,AY102,AY108,AY114,AY120,AY126,AY132,AY138,AY144,AY150,AY156,AY162,AY168,AY174)+SUM(AY180,AY186,AY192,AY198,AY204,AY210,AY216,AY222,AY228,AY234,AY240,AY246,AY252,AY258,AY264,AY270)+SUM(AY276,AY282,AY288,AY294,AY300,AY306,AY312,AY318,AY324,AY330,AY336,AY342,AY348,AY354,AY360,AY366,AY372,AY378,AY384,AY390)+SUM(AY396,AY402,AY408,AY414,AY420,AY426,AY432,AY438,AY444,AY450,AY456,AY462,AY468,AY474,AY480,AY486,AY492,AY498,AY504,AY510,AY516,AY522,AY528,AY534,AY540,AY546,AY552,AY558)+SUM(AY564,AY570,AY576,AY582,AY588,AY594,AY600,AY606,AY612,AY618,AY624,AY630,AY636,AY642,AY648,AY654,AY660,AY666,AY672,AY678,AY684,AY690,AY696,AY702,AY708,AY714,AY720,AY726,AY732,AY738)+SUM(AY744,AY750,AY756,AY762,AY768,AY774,AY780,AY786,AY792,AY798,AY804,AY810,AY816,AY822)+SUM(AY828,AY834,AY840,AY846,AY852,AY858,AY864,AY870,AY876,AY882,AY888,AY894,AY900,AY906,AY912,AY918,AY924,AY930,AY936,AY942,AY948,AY960,AY966,AY972,AY978,AY984,AY990,AY954,AY996,AY1002,AY1008,AY1014,AY1020)</f>
        <v>0</v>
      </c>
      <c r="AZ1026" s="49">
        <f t="shared" si="800"/>
        <v>0</v>
      </c>
      <c r="BA1026" s="49">
        <f t="shared" si="800"/>
        <v>0</v>
      </c>
      <c r="BB1026" s="49">
        <f t="shared" si="800"/>
        <v>0</v>
      </c>
      <c r="BC1026" s="49">
        <f t="shared" si="800"/>
        <v>0</v>
      </c>
      <c r="BD1026" s="49">
        <f>SUM(AR1026:BC1026)</f>
        <v>31573.01</v>
      </c>
    </row>
    <row r="1027" spans="3:56" ht="15.5" x14ac:dyDescent="0.35">
      <c r="D1027" s="8" t="s">
        <v>457</v>
      </c>
      <c r="E1027" s="48">
        <f t="shared" ref="E1027:P1027" si="801">SUM(E7,E13,E19,E25)+SUM(E31,E37,E43,E49,E55,E61,E67,E73,E79)+SUM(E85,E91,E97,E103,E109,E115,E121,E127,E133,E139,E145,E151,E157,E163,E169,E175)+SUM(E181,E187,E193,E199,E205,E211,E217,E223,E229,E235,E241,E247,E253,E259,E265,E271)+SUM(E277,E283,E289,E295,E301,E307,E313,E319,E325,E331,E337,E343,E349,E355,E361,E367,E373,E379,E385,E391)+SUM(E397,E403,E409,E415,E421,E427,E433,E439,E445,E451,E457,E463,E469,E475,E481,E487,E493,E499,E505,E511,E517,E523,E529,E535,E541,E547,E553,E559)+SUM(E565,E571,E577,E583,E589,E595,E601,E607,E613,E619,E625,E631,E637,E643,E649,E655,E661,E667,E673,E679,E685,E691,E697,E703,E709,E715,E721,E727,E733,E739)+SUM(E745,E751,E757,E763,E769,E775,E781,E787,E793,E799,E805,E811,E817,E823)+SUM(E829,E835,E841,E847,E853,E859)</f>
        <v>7790137.3010000009</v>
      </c>
      <c r="F1027" s="48">
        <f t="shared" si="801"/>
        <v>7884266.5700000003</v>
      </c>
      <c r="G1027" s="48">
        <f t="shared" si="801"/>
        <v>7892888.8200000003</v>
      </c>
      <c r="H1027" s="48">
        <f t="shared" si="801"/>
        <v>7650722.3599999985</v>
      </c>
      <c r="I1027" s="48">
        <f t="shared" si="801"/>
        <v>7927485.3799999999</v>
      </c>
      <c r="J1027" s="48">
        <f t="shared" si="801"/>
        <v>7878450.2400000002</v>
      </c>
      <c r="K1027" s="48">
        <f t="shared" si="801"/>
        <v>8051033.0999999996</v>
      </c>
      <c r="L1027" s="48">
        <f t="shared" si="801"/>
        <v>8093433.8799999999</v>
      </c>
      <c r="M1027" s="48">
        <f t="shared" si="801"/>
        <v>8081384.6699999999</v>
      </c>
      <c r="N1027" s="48">
        <f t="shared" si="801"/>
        <v>8073667.0900000008</v>
      </c>
      <c r="O1027" s="48">
        <f t="shared" si="801"/>
        <v>8147825.6099999994</v>
      </c>
      <c r="P1027" s="48">
        <f t="shared" si="801"/>
        <v>8435747.0199999996</v>
      </c>
      <c r="Q1027" s="48">
        <f>SUM(E1027:P1027)</f>
        <v>95907042.041000009</v>
      </c>
      <c r="R1027" s="48">
        <f t="shared" ref="R1027:AC1027" si="802">SUM(R7,R13,R19,R25)+SUM(R31,R37,R43,R49,R55,R61,R67,R73,R79)+SUM(R85,R91,R97,R103,R109,R115,R121,R127,R133,R139,R145,R151,R157,R163,R169,R175)+SUM(R181,R187,R193,R199,R205,R211,R217,R223,R229,R235,R241,R247,R253,R259,R265,R271)+SUM(R277,R283,R289,R295,R301,R307,R313,R319,R325,R331,R337,R343,R349,R355,R361,R367,R373,R379,R385,R391)+SUM(R397,R403,R409,R415,R421,R427,R433,R439,R445,R451,R457,R463,R469,R475,R481,R487,R493,R499,R505,R511,R517,R523,R529,R535,R541,R547,R553,R559)+SUM(R565,R571,R577,R583,R589,R595,R601,R607,R613,R619,R625,R631,R637,R643,R649,R655,R661,R667,R673,R679,R685,R691,R697,R703,R709,R715,R721,R727,R733,R739)+SUM(R745,R751,R757,R763,R769,R775,R781,R787,R793,R799,R805,R811,R817,R823)+SUM(R829,R835,R841,R847,R853,R859,R865,R871,R877,R883,R889,R895,R901,R907,R913,R919,R925,R931)</f>
        <v>8449858.5500000007</v>
      </c>
      <c r="S1027" s="48">
        <f t="shared" si="802"/>
        <v>8389567</v>
      </c>
      <c r="T1027" s="48">
        <f t="shared" si="802"/>
        <v>8539509.1500000004</v>
      </c>
      <c r="U1027" s="48">
        <f t="shared" si="802"/>
        <v>8543234.6400000006</v>
      </c>
      <c r="V1027" s="48">
        <f t="shared" si="802"/>
        <v>8564045.6300000008</v>
      </c>
      <c r="W1027" s="48">
        <f t="shared" si="802"/>
        <v>8723873.129999999</v>
      </c>
      <c r="X1027" s="48">
        <f t="shared" si="802"/>
        <v>8769793.0700000003</v>
      </c>
      <c r="Y1027" s="48">
        <f t="shared" si="802"/>
        <v>8744807.3300000001</v>
      </c>
      <c r="Z1027" s="48">
        <f t="shared" si="802"/>
        <v>8740316.3900000006</v>
      </c>
      <c r="AA1027" s="48">
        <f t="shared" si="802"/>
        <v>8727074.6799999997</v>
      </c>
      <c r="AB1027" s="48">
        <f t="shared" si="802"/>
        <v>8780450.4900000002</v>
      </c>
      <c r="AC1027" s="48">
        <f t="shared" si="802"/>
        <v>8909961.5599999987</v>
      </c>
      <c r="AD1027" s="48">
        <f>SUM(R1027:AC1027)</f>
        <v>103882491.62000002</v>
      </c>
      <c r="AE1027" s="48">
        <f t="shared" si="793"/>
        <v>9075298.75</v>
      </c>
      <c r="AF1027" s="48">
        <f t="shared" si="793"/>
        <v>9074882.754999999</v>
      </c>
      <c r="AG1027" s="48">
        <f t="shared" si="793"/>
        <v>9095164.5899999999</v>
      </c>
      <c r="AH1027" s="48">
        <f t="shared" si="793"/>
        <v>9106410.9100000001</v>
      </c>
      <c r="AI1027" s="48">
        <f t="shared" si="793"/>
        <v>9375548.4100000001</v>
      </c>
      <c r="AJ1027" s="48">
        <f>SUM(AJ7,AJ13,AJ19,AJ25)+SUM(AJ31,AJ37,AJ43,AJ49,AJ55,AJ61,AJ67,AJ73,AJ79)+SUM(AJ85,AJ91,AJ97,AJ103,AJ109,AJ115,AJ121,AJ127,AJ133,AJ139,AJ145,AJ151,AJ157,AJ163,AJ169,AJ175)+SUM(AJ181,AJ187,AJ193,AJ199,AJ205,AJ211,AJ217,AJ223,AJ229,AJ235,AJ241,AJ247,AJ253,AJ259,AJ265,AJ271)+SUM(AJ277,AJ283,AJ289,AJ295,AJ301,AJ307,AJ313,AJ319,AJ325,AJ331,AJ337,AJ343,AJ349,AJ355,AJ361,AJ367,AJ373,AJ379,AJ385,AJ391)+SUM(AJ397,AJ403,AJ409,AJ415,AJ421,AJ427,AJ433,AJ439,AJ445,AJ451,AJ457,AJ463,AJ469,AJ475,AJ481,AJ487,AJ493,AJ499,AJ505,AJ511,AJ517,AJ523,AJ529,AJ535,AJ541,AJ547,AJ553,AJ559)+SUM(AJ565,AJ571,AJ577,AJ583,AJ589,AJ595,AJ601,AJ607,AJ613,AJ619,AJ625,AJ631,AJ637,AJ643,AJ649,AJ655,AJ661,AJ667,AJ673,AJ679,AJ685,AJ691,AJ697,AJ703,AJ709,AJ715,AJ721,AJ727,AJ733,AJ739)+SUM(AJ745,AJ751,AJ757,AJ763,AJ769,AJ775,AJ781,AJ787,AJ793,AJ799,AJ805,AJ811,AJ817,AJ823)+SUM(AJ829,AJ835,AJ841,AJ847,AJ853,AJ859,AJ865,AJ871,AJ877,AJ883,AJ889,AJ895,AJ901,AJ907,AJ913,AJ919,AJ925,AJ931,AJ937,AJ943,AJ949,AJ961,AJ967,AJ973,AJ979)</f>
        <v>9224861.7399999984</v>
      </c>
      <c r="AK1027" s="48">
        <f t="shared" si="794"/>
        <v>9321096.3800000008</v>
      </c>
      <c r="AL1027" s="48">
        <f t="shared" si="794"/>
        <v>9310581.5099999998</v>
      </c>
      <c r="AM1027" s="48">
        <f t="shared" si="794"/>
        <v>9349107.8099999987</v>
      </c>
      <c r="AN1027" s="48">
        <f t="shared" si="794"/>
        <v>9339188.5299999993</v>
      </c>
      <c r="AO1027" s="48">
        <f t="shared" si="795"/>
        <v>9334694.7999999989</v>
      </c>
      <c r="AP1027" s="48">
        <f t="shared" si="795"/>
        <v>9306624.2300000004</v>
      </c>
      <c r="AQ1027" s="49">
        <f t="shared" si="795"/>
        <v>110913460.41499999</v>
      </c>
      <c r="AR1027" s="48">
        <f>SUM(AR7,AR13,AR19,AR25)+SUM(AR31,AR37,AR43,AR49,AR55,AR61,AR67,AR73,AR79)+SUM(AR85,AR91,AR97,AR103,AR109,AR115,AR121,AR127,AR133,AR139,AR145,AR151,AR157,AR163,AR169,AR175)+SUM(AR181,AR187,AR193,AR199,AR205,AR211,AR217,AR223,AR229,AR235,AR241,AR247,AR253,AR259,AR265,AR271)+SUM(AR277,AR283,AR289,AR295,AR301,AR307,AR313,AR319,AR325,AR331,AR337,AR343,AR349,AR355,AR361,AR367,AR373,AR379,AR385,AR391)+SUM(AR397,AR403,AR409,AR415,AR421,AR427,AR433,AR439,AR445,AR451,AR457,AR463,AR469,AR475,AR481,AR487,AR493,AR499,AR505,AR511,AR517,AR523,AR529,AR535,AR541,AR547,AR553,AR559)+SUM(AR565,AR571,AR577,AR583,AR589,AR595,AR601,AR607,AR613,AR619,AR625,AR631,AR637,AR643,AR649,AR655,AR661,AR667,AR673,AR679,AR685,AR691,AR697,AR703,AR709,AR715,AR721,AR727,AR733,AR739)+SUM(AR745,AR751,AR757,AR763,AR769,AR775,AR781,AR787,AR793,AR799,AR805,AR811,AR817,AR823)+SUM(AR829,AR835,AR841,AR847,AR853,AR859,AR865,AR871,AR877,AR883,AR889,AR895,AR901,AR907,AR913,AR919,AR925,AR931,AR937,AR943,AR949,AR961,AR967,AR973,AR979,AR985,AR991,AR955)</f>
        <v>9471084.0399999991</v>
      </c>
      <c r="AS1027" s="49">
        <f t="shared" si="795"/>
        <v>9468886.7100000009</v>
      </c>
      <c r="AT1027" s="49">
        <f t="shared" si="795"/>
        <v>9524019.620000001</v>
      </c>
      <c r="AU1027" s="49">
        <f t="shared" si="796"/>
        <v>9669844.0700000022</v>
      </c>
      <c r="AV1027" s="49">
        <f t="shared" si="796"/>
        <v>9508373.6099999994</v>
      </c>
      <c r="AW1027" s="49">
        <f>SUM(AW7,AW13,AW19,AW25)+SUM(AW31,AW37,AW43,AW49,AW55,AW61,AW67,AW73,AW79)+SUM(AW85,AW91,AW97,AW103,AW109,AW115,AW121,AW127,AW133,AW139,AW145,AW151,AW157,AW163,AW169,AW175)+SUM(AW181,AW187,AW193,AW199,AW205,AW211,AW217,AW223,AW229,AW235,AW241,AW247,AW253,AW259,AW265,AW271)+SUM(AW277,AW283,AW289,AW295,AW301,AW307,AW313,AW319,AW325,AW331,AW337,AW343,AW349,AW355,AW361,AW367,AW373,AW379,AW385,AW391)+SUM(AW397,AW403,AW409,AW415,AW421,AW427,AW433,AW439,AW445,AW451,AW457,AW463,AW469,AW475,AW481,AW487,AW493,AW499,AW505,AW511,AW517,AW523,AW529,AW535,AW541,AW547,AW553,AW559)+SUM(AW565,AW571,AW577,AW583,AW589,AW595,AW601,AW607,AW613,AW619,AW625,AW631,AW637,AW643,AW649,AW655,AW661,AW667,AW673,AW679,AW685,AW691,AW697,AW703,AW709,AW715,AW721,AW727,AW733,AW739)+SUM(AW745,AW751,AW757,AW763,AW769,AW775,AW781,AW787,AW793,AW799,AW805,AW811,AW817,AW823)+SUM(AW829,AW835,AW841,AW847,AW853,AW859,AW865,AW871,AW877,AW883,AW889,AW895,AW901,AW907,AW913,AW919,AW925,AW931,AW937,AW943,AW949,AW961,AW967,AW973,AW979,AW985,AW991,AW955,AW997,AW1003)</f>
        <v>9565039.2400000002</v>
      </c>
      <c r="AX1027" s="49">
        <f>SUM(AX7,AX13,AX19,AX25)+SUM(AX31,AX37,AX43,AX49,AX55,AX61,AX67,AX73,AX79)+SUM(AX85,AX91,AX97,AX103,AX109,AX115,AX121,AX127,AX133,AX139,AX145,AX151,AX157,AX163,AX169,AX175)+SUM(AX181,AX187,AX193,AX199,AX205,AX211,AX217,AX223,AX229,AX235,AX241,AX247,AX253,AX259,AX265,AX271)+SUM(AX277,AX283,AX289,AX295,AX301,AX307,AX313,AX319,AX325,AX331,AX337,AX343,AX349,AX355,AX361,AX367,AX373,AX379,AX385,AX391)+SUM(AX397,AX403,AX409,AX415,AX421,AX427,AX433,AX439,AX445,AX451,AX457,AX463,AX469,AX475,AX481,AX487,AX493,AX499,AX505,AX511,AX517,AX523,AX529,AX535,AX541,AX547,AX553,AX559)+SUM(AX565,AX571,AX577,AX583,AX589,AX595,AX601,AX607,AX613,AX619,AX625,AX631,AX637,AX643,AX649,AX655,AX661,AX667,AX673,AX679,AX685,AX691,AX697,AX703,AX709,AX715,AX721,AX727,AX733,AX739)+SUM(AX745,AX751,AX757,AX763,AX769,AX775,AX781,AX787,AX793,AX799,AX805,AX811,AX817,AX823)+SUM(AX829,AX835,AX841,AX847,AX853,AX859,AX865,AX871,AX877,AX883,AX889,AX895,AX901,AX907,AX913,AX919,AX925,AX931,AX937,AX943,AX949,AX961,AX967,AX973,AX979,AX985,AX991,AX955,AX997,AX1003,AX1009,AX1015,AX1021)</f>
        <v>10010817.620000001</v>
      </c>
      <c r="AY1027" s="49">
        <f t="shared" ref="AY1027:BC1027" si="803">SUM(AY7,AY13,AY19,AY25)+SUM(AY31,AY37,AY43,AY49,AY55,AY61,AY67,AY73,AY79)+SUM(AY85,AY91,AY97,AY103,AY109,AY115,AY121,AY127,AY133,AY139,AY145,AY151,AY157,AY163,AY169,AY175)+SUM(AY181,AY187,AY193,AY199,AY205,AY211,AY217,AY223,AY229,AY235,AY241,AY247,AY253,AY259,AY265,AY271)+SUM(AY277,AY283,AY289,AY295,AY301,AY307,AY313,AY319,AY325,AY331,AY337,AY343,AY349,AY355,AY361,AY367,AY373,AY379,AY385,AY391)+SUM(AY397,AY403,AY409,AY415,AY421,AY427,AY433,AY439,AY445,AY451,AY457,AY463,AY469,AY475,AY481,AY487,AY493,AY499,AY505,AY511,AY517,AY523,AY529,AY535,AY541,AY547,AY553,AY559)+SUM(AY565,AY571,AY577,AY583,AY589,AY595,AY601,AY607,AY613,AY619,AY625,AY631,AY637,AY643,AY649,AY655,AY661,AY667,AY673,AY679,AY685,AY691,AY697,AY703,AY709,AY715,AY721,AY727,AY733,AY739)+SUM(AY745,AY751,AY757,AY763,AY769,AY775,AY781,AY787,AY793,AY799,AY805,AY811,AY817,AY823)+SUM(AY829,AY835,AY841,AY847,AY853,AY859,AY865,AY871,AY877,AY883,AY889,AY895,AY901,AY907,AY913,AY919,AY925,AY931,AY937,AY943,AY949,AY961,AY967,AY973,AY979,AY985,AY991,AY955,AY997,AY1003,AY1009,AY1015,AY1021)</f>
        <v>10000696.889999999</v>
      </c>
      <c r="AZ1027" s="49">
        <f t="shared" si="803"/>
        <v>10034939.83</v>
      </c>
      <c r="BA1027" s="49">
        <f t="shared" si="803"/>
        <v>10309719.439999999</v>
      </c>
      <c r="BB1027" s="49">
        <f t="shared" si="803"/>
        <v>10321143.029999997</v>
      </c>
      <c r="BC1027" s="49">
        <f t="shared" si="803"/>
        <v>10449372.689999999</v>
      </c>
      <c r="BD1027" s="49">
        <f>SUM(AR1027:BC1027)</f>
        <v>118333936.79000001</v>
      </c>
    </row>
    <row r="1028" spans="3:56" ht="15.5" x14ac:dyDescent="0.35">
      <c r="D1028" s="50" t="s">
        <v>458</v>
      </c>
      <c r="E1028" s="48">
        <f t="shared" ref="E1028:P1028" si="804">SUM(E8,E14,E20,E26)+SUM(E32,E38,E44,E50,E56,E62,E68,E74,E80)+SUM(E86,E92,E98,E104,E110,E116,E122,E128,E134,E140,E146,E152,E158,E164,E170,E176)+SUM(E182,E188,E194,E200,E206,E212,E218,E224,E230,E236,E242,E248,E254,E260,E266,E272)+SUM(E278,E284,E290,E296,E302,E308,E314,E320,E326,E332,E338,E344,E350,E356,E362,E368,E374,E380,E386,E392)+SUM(E398,E404,E410,E416,E422,E428,E434,E440,E446,E452,E458,E464,E470,E476,E482,E488,E494,E500,E506,E512,E518,E524,E530,E536,E542,E548,E554,E560)+SUM(E566,E572,E578,E584,E590,E596,E602,E608,E614,E620,E626,E632,E638,E644,E650,E656,E662,E668,E674,E680,E686,E692,E698,E704,E710,E716,E722,E728,E734,E740)+SUM(E746,E752,E758,E764,E770,E776,E782,E788,E794,E800,E806,E812,E818,E824)+SUM(E830,E836,E842,E848,E854,E860)</f>
        <v>7858446.2910000002</v>
      </c>
      <c r="F1028" s="48">
        <f t="shared" si="804"/>
        <v>7926221.8899999997</v>
      </c>
      <c r="G1028" s="48">
        <f t="shared" si="804"/>
        <v>7934614.9699999988</v>
      </c>
      <c r="H1028" s="48">
        <f t="shared" si="804"/>
        <v>7692411.8399999989</v>
      </c>
      <c r="I1028" s="48">
        <f t="shared" si="804"/>
        <v>7975477.6099999994</v>
      </c>
      <c r="J1028" s="48">
        <f t="shared" si="804"/>
        <v>7924910.79</v>
      </c>
      <c r="K1028" s="48">
        <f t="shared" si="804"/>
        <v>8097729.5099999998</v>
      </c>
      <c r="L1028" s="48">
        <f t="shared" si="804"/>
        <v>8140283.5899999999</v>
      </c>
      <c r="M1028" s="48">
        <f t="shared" si="804"/>
        <v>8130945.7000000011</v>
      </c>
      <c r="N1028" s="48">
        <f t="shared" si="804"/>
        <v>8123125.7800000003</v>
      </c>
      <c r="O1028" s="48">
        <f t="shared" si="804"/>
        <v>8197359.3000000007</v>
      </c>
      <c r="P1028" s="48">
        <f t="shared" si="804"/>
        <v>8484244.3499999996</v>
      </c>
      <c r="Q1028" s="48">
        <f>SUM(E1028:P1028)</f>
        <v>96485771.620999992</v>
      </c>
      <c r="R1028" s="48">
        <f t="shared" ref="R1028:AC1028" si="805">SUM(R8,R14,R20,R26)+SUM(R32,R38,R44,R50,R56,R62,R68,R74,R80)+SUM(R86,R92,R98,R104,R110,R116,R122,R128,R134,R140,R146,R152,R158,R164,R170,R176)+SUM(R182,R188,R194,R200,R206,R212,R218,R224,R230,R236,R242,R248,R254,R260,R266,R272)+SUM(R278,R284,R290,R296,R302,R308,R314,R320,R326,R332,R338,R344,R350,R356,R362,R368,R374,R380,R386,R392)+SUM(R398,R404,R410,R416,R422,R428,R434,R440,R446,R452,R458,R464,R470,R476,R482,R488,R494,R500,R506,R512,R518,R524,R530,R536,R542,R548,R554,R560)+SUM(R566,R572,R578,R584,R590,R596,R602,R608,R614,R620,R626,R632,R638,R644,R650,R656,R662,R668,R674,R680,R686,R692,R698,R704,R710,R716,R722,R728,R734,R740)+SUM(R746,R752,R758,R764,R770,R776,R782,R788,R794,R800,R806,R812,R818,R824)+SUM(R830,R836,R842,R848,R854,R860,R866,R872,R878,R884,R890,R896,R902,R908,R914,R920,R926,R932)</f>
        <v>8526839.2300000004</v>
      </c>
      <c r="S1028" s="48">
        <f t="shared" si="805"/>
        <v>8437775.1799999997</v>
      </c>
      <c r="T1028" s="48">
        <f t="shared" si="805"/>
        <v>8589322.9000000004</v>
      </c>
      <c r="U1028" s="48">
        <f t="shared" si="805"/>
        <v>8591977.5700000022</v>
      </c>
      <c r="V1028" s="48">
        <f t="shared" si="805"/>
        <v>8612736.0599999987</v>
      </c>
      <c r="W1028" s="48">
        <f t="shared" si="805"/>
        <v>8775769.3499999996</v>
      </c>
      <c r="X1028" s="48">
        <f t="shared" si="805"/>
        <v>8819666.5299999993</v>
      </c>
      <c r="Y1028" s="48">
        <f t="shared" si="805"/>
        <v>8794347.7400000002</v>
      </c>
      <c r="Z1028" s="48">
        <f t="shared" si="805"/>
        <v>8789706.3900000006</v>
      </c>
      <c r="AA1028" s="48">
        <f t="shared" si="805"/>
        <v>8779892.5099999998</v>
      </c>
      <c r="AB1028" s="48">
        <f t="shared" si="805"/>
        <v>8833116.25</v>
      </c>
      <c r="AC1028" s="48">
        <f t="shared" si="805"/>
        <v>8962554.8000000007</v>
      </c>
      <c r="AD1028" s="48">
        <f>SUM(R1028:AC1028)</f>
        <v>104513704.51000001</v>
      </c>
      <c r="AE1028" s="48">
        <f t="shared" si="793"/>
        <v>9156950.7300000004</v>
      </c>
      <c r="AF1028" s="48">
        <f t="shared" si="793"/>
        <v>9127011.4050000012</v>
      </c>
      <c r="AG1028" s="48">
        <f t="shared" si="793"/>
        <v>9148000.9299999997</v>
      </c>
      <c r="AH1028" s="48">
        <f t="shared" si="793"/>
        <v>9159524.3300000001</v>
      </c>
      <c r="AI1028" s="48">
        <f t="shared" si="793"/>
        <v>9428262.5</v>
      </c>
      <c r="AJ1028" s="48">
        <f>SUM(AJ8,AJ14,AJ20,AJ26)+SUM(AJ32,AJ38,AJ44,AJ50,AJ56,AJ62,AJ68,AJ74,AJ80)+SUM(AJ86,AJ92,AJ98,AJ104,AJ110,AJ116,AJ122,AJ128,AJ134,AJ140,AJ146,AJ152,AJ158,AJ164,AJ170,AJ176)+SUM(AJ182,AJ188,AJ194,AJ200,AJ206,AJ212,AJ218,AJ224,AJ230,AJ236,AJ242,AJ248,AJ254,AJ260,AJ266,AJ272)+SUM(AJ278,AJ284,AJ290,AJ296,AJ302,AJ308,AJ314,AJ320,AJ326,AJ332,AJ338,AJ344,AJ350,AJ356,AJ362,AJ368,AJ374,AJ380,AJ386,AJ392)+SUM(AJ398,AJ404,AJ410,AJ416,AJ422,AJ428,AJ434,AJ440,AJ446,AJ452,AJ458,AJ464,AJ470,AJ476,AJ482,AJ488,AJ494,AJ500,AJ506,AJ512,AJ518,AJ524,AJ530,AJ536,AJ542,AJ548,AJ554,AJ560)+SUM(AJ566,AJ572,AJ578,AJ584,AJ590,AJ596,AJ602,AJ608,AJ614,AJ620,AJ626,AJ632,AJ638,AJ644,AJ650,AJ656,AJ662,AJ668,AJ674,AJ680,AJ686,AJ692,AJ698,AJ704,AJ710,AJ716,AJ722,AJ728,AJ734,AJ740)+SUM(AJ746,AJ752,AJ758,AJ764,AJ770,AJ776,AJ782,AJ788,AJ794,AJ800,AJ806,AJ812,AJ818,AJ824)+SUM(AJ830,AJ836,AJ842,AJ848,AJ854,AJ860,AJ866,AJ872,AJ878,AJ884,AJ890,AJ896,AJ902,AJ908,AJ914,AJ920,AJ926,AJ932,AJ938,AJ944,AJ950,AJ962,AJ968,AJ974,AJ980)</f>
        <v>9277236.2400000002</v>
      </c>
      <c r="AK1028" s="48">
        <f t="shared" si="794"/>
        <v>9373574.6099999994</v>
      </c>
      <c r="AL1028" s="48">
        <f t="shared" si="794"/>
        <v>9362692.2399999984</v>
      </c>
      <c r="AM1028" s="48">
        <f t="shared" si="794"/>
        <v>9399770.6899999995</v>
      </c>
      <c r="AN1028" s="48">
        <f t="shared" si="794"/>
        <v>9390807.25</v>
      </c>
      <c r="AO1028" s="48">
        <f>SUM(AO8,AO14,AO20,AO26)+SUM(AO32,AO38,AO44,AO50,AO56,AO62,AO68,AO74,AO80)+SUM(AO86,AO92,AO98,AO104,AO110,AO116,AO122,AO128,AO134,AO140,AO146,AO152,AO158,AO164,AO170,AO176)+SUM(AO182,AO188,AO194,AO200,AO206,AO212,AO218,AO224,AO230,AO236,AO242,AO248,AO254,AO260,AO266,AO272)+SUM(AO278,AO284,AO290,AO296,AO302,AO308,AO314,AO320,AO326,AO332,AO338,AO344,AO350,AO356,AO362,AO368,AO374,AO380,AO386,AO392)+SUM(AO398,AO404,AO410,AO416,AO422,AO428,AO434,AO440,AO446,AO452,AO458,AO464,AO470,AO476,AO482,AO488,AO494,AO500,AO506,AO512,AO518,AO524,AO530,AO536,AO542,AO548,AO554,AO560)+SUM(AO566,AO572,AO578,AO584,AO590,AO596,AO602,AO608,AO614,AO620,AO626,AO632,AO638,AO644,AO650,AO656,AO662,AO668,AO674,AO680,AO686,AO692,AO698,AO704,AO710,AO716,AO722,AO728,AO734,AO740)+SUM(AO746,AO752,AO758,AO764,AO770,AO776,AO782,AO788,AO794,AO800,AO806,AO812,AO818,AO824)+SUM(AO830,AO836,AO842,AO848,AO854,AO860,AO866,AO872,AO878,AO884,AO890,AO896,AO902,AO908,AO914,AO920,AO926,AO932,AO938,AO944,AO950,AO962,AO968,AO974,AO980,AO986,AO992,AO956)</f>
        <v>9386272.2699999996</v>
      </c>
      <c r="AP1028" s="48">
        <f>SUM(AP8,AP14,AP20,AP26)+SUM(AP32,AP38,AP44,AP50,AP56,AP62,AP68,AP74,AP80)+SUM(AP86,AP92,AP98,AP104,AP110,AP116,AP122,AP128,AP134,AP140,AP146,AP152,AP158,AP164,AP170,AP176)+SUM(AP182,AP188,AP194,AP200,AP206,AP212,AP218,AP224,AP230,AP236,AP242,AP248,AP254,AP260,AP266,AP272)+SUM(AP278,AP284,AP290,AP296,AP302,AP308,AP314,AP320,AP326,AP332,AP338,AP344,AP350,AP356,AP362,AP368,AP374,AP380,AP386,AP392)+SUM(AP398,AP404,AP410,AP416,AP422,AP428,AP434,AP440,AP446,AP452,AP458,AP464,AP470,AP476,AP482,AP488,AP494,AP500,AP506,AP512,AP518,AP524,AP530,AP536,AP542,AP548,AP554,AP560)+SUM(AP566,AP572,AP578,AP584,AP590,AP596,AP602,AP608,AP614,AP620,AP626,AP632,AP638,AP644,AP650,AP656,AP662,AP668,AP674,AP680,AP686,AP692,AP698,AP704,AP710,AP716,AP722,AP728,AP734,AP740)+SUM(AP746,AP752,AP758,AP764,AP770,AP776,AP782,AP788,AP794,AP800,AP806,AP812,AP818,AP824)+SUM(AP830,AP836,AP842,AP848,AP854,AP860,AP866,AP872,AP878,AP884,AP890,AP896,AP902,AP908,AP914,AP920,AP926,AP932,AP938,AP944,AP950,AP962,AP968,AP974,AP980,AP986,AP992,AP956)</f>
        <v>9358000.0399999991</v>
      </c>
      <c r="AQ1028" s="49">
        <f>SUM(AE1028:AP1028)</f>
        <v>111568103.23499998</v>
      </c>
      <c r="AR1028" s="48">
        <f>SUM(AR8,AR14,AR20,AR26)+SUM(AR32,AR38,AR44,AR50,AR56,AR62,AR68,AR74,AR80)+SUM(AR86,AR92,AR98,AR104,AR110,AR116,AR122,AR128,AR134,AR140,AR146,AR152,AR158,AR164,AR170,AR176)+SUM(AR182,AR188,AR194,AR200,AR206,AR212,AR218,AR224,AR230,AR236,AR242,AR248,AR254,AR260,AR266,AR272)+SUM(AR278,AR284,AR290,AR296,AR302,AR308,AR314,AR320,AR326,AR332,AR338,AR344,AR350,AR356,AR362,AR368,AR374,AR380,AR386,AR392)+SUM(AR398,AR404,AR410,AR416,AR422,AR428,AR434,AR440,AR446,AR452,AR458,AR464,AR470,AR476,AR482,AR488,AR494,AR500,AR506,AR512,AR518,AR524,AR530,AR536,AR542,AR548,AR554,AR560)+SUM(AR566,AR572,AR578,AR584,AR590,AR596,AR602,AR608,AR614,AR620,AR626,AR632,AR638,AR644,AR650,AR656,AR662,AR668,AR674,AR680,AR686,AR692,AR698,AR704,AR710,AR716,AR722,AR728,AR734,AR740)+SUM(AR746,AR752,AR758,AR764,AR770,AR776,AR782,AR788,AR794,AR800,AR806,AR812,AR818,AR824)+SUM(AR830,AR836,AR842,AR848,AR854,AR860,AR866,AR872,AR878,AR884,AR890,AR896,AR902,AR908,AR914,AR920,AR926,AR932,AR938,AR944,AR950,AR962,AR968,AR974,AR980,AR986,AR992,AR956)</f>
        <v>9552791.0999999996</v>
      </c>
      <c r="AS1028" s="49">
        <f>SUM(AS8,AS14,AS20,AS26)+SUM(AS32,AS38,AS44,AS50,AS56,AS62,AS68,AS74,AS80)+SUM(AS86,AS92,AS98,AS104,AS110,AS116,AS122,AS128,AS134,AS140,AS146,AS152,AS158,AS164,AS170,AS176)+SUM(AS182,AS188,AS194,AS200,AS206,AS212,AS218,AS224,AS230,AS236,AS242,AS248,AS254,AS260,AS266,AS272)+SUM(AS278,AS284,AS290,AS296,AS302,AS308,AS314,AS320,AS326,AS332,AS338,AS344,AS350,AS356,AS362,AS368,AS374,AS380,AS386,AS392)+SUM(AS398,AS404,AS410,AS416,AS422,AS428,AS434,AS440,AS446,AS452,AS458,AS464,AS470,AS476,AS482,AS488,AS494,AS500,AS506,AS512,AS518,AS524,AS530,AS536,AS542,AS548,AS554,AS560)+SUM(AS566,AS572,AS578,AS584,AS590,AS596,AS602,AS608,AS614,AS620,AS626,AS632,AS638,AS644,AS650,AS656,AS662,AS668,AS674,AS680,AS686,AS692,AS698,AS704,AS710,AS716,AS722,AS728,AS734,AS740)+SUM(AS746,AS752,AS758,AS764,AS770,AS776,AS782,AS788,AS794,AS800,AS806,AS812,AS818,AS824)+SUM(AS830,AS836,AS842,AS848,AS854,AS860,AS866,AS872,AS878,AS884,AS890,AS896,AS902,AS908,AS914,AS920,AS926,AS932,AS938,AS944,AS950,AS962,AS968,AS974,AS980,AS986,AS992,AS956)</f>
        <v>9519774.3399999999</v>
      </c>
      <c r="AT1028" s="49">
        <f>SUM(AT8,AT14,AT20,AT26)+SUM(AT32,AT38,AT44,AT50,AT56,AT62,AT68,AT74,AT80)+SUM(AT86,AT92,AT98,AT104,AT110,AT116,AT122,AT128,AT134,AT140,AT146,AT152,AT158,AT164,AT170,AT176)+SUM(AT182,AT188,AT194,AT200,AT206,AT212,AT218,AT224,AT230,AT236,AT242,AT248,AT254,AT260,AT266,AT272)+SUM(AT278,AT284,AT290,AT296,AT302,AT308,AT314,AT320,AT326,AT332,AT338,AT344,AT350,AT356,AT362,AT368,AT374,AT380,AT386,AT392)+SUM(AT398,AT404,AT410,AT416,AT422,AT428,AT434,AT440,AT446,AT452,AT458,AT464,AT470,AT476,AT482,AT488,AT494,AT500,AT506,AT512,AT518,AT524,AT530,AT536,AT542,AT548,AT554,AT560)+SUM(AT566,AT572,AT578,AT584,AT590,AT596,AT602,AT608,AT614,AT620,AT626,AT632,AT638,AT644,AT650,AT656,AT662,AT668,AT674,AT680,AT686,AT692,AT698,AT704,AT710,AT716,AT722,AT728,AT734,AT740)+SUM(AT746,AT752,AT758,AT764,AT770,AT776,AT782,AT788,AT794,AT800,AT806,AT812,AT818,AT824)+SUM(AT830,AT836,AT842,AT848,AT854,AT860,AT866,AT872,AT878,AT884,AT890,AT896,AT902,AT908,AT914,AT920,AT926,AT932,AT938,AT944,AT950,AT962,AT968,AT974,AT980,AT986,AT992,AT956)</f>
        <v>9575016.9199999999</v>
      </c>
      <c r="AU1028" s="49">
        <f t="shared" si="796"/>
        <v>9723219.6300000008</v>
      </c>
      <c r="AV1028" s="49">
        <f t="shared" si="796"/>
        <v>9561452.4900000002</v>
      </c>
      <c r="AW1028" s="49">
        <f>SUM(AW8,AW14,AW20,AW26)+SUM(AW32,AW38,AW44,AW50,AW56,AW62,AW68,AW74,AW80)+SUM(AW86,AW92,AW98,AW104,AW110,AW116,AW122,AW128,AW134,AW140,AW146,AW152,AW158,AW164,AW170,AW176)+SUM(AW182,AW188,AW194,AW200,AW206,AW212,AW218,AW224,AW230,AW236,AW242,AW248,AW254,AW260,AW266,AW272)+SUM(AW278,AW284,AW290,AW296,AW302,AW308,AW314,AW320,AW326,AW332,AW338,AW344,AW350,AW356,AW362,AW368,AW374,AW380,AW386,AW392)+SUM(AW398,AW404,AW410,AW416,AW422,AW428,AW434,AW440,AW446,AW452,AW458,AW464,AW470,AW476,AW482,AW488,AW494,AW500,AW506,AW512,AW518,AW524,AW530,AW536,AW542,AW548,AW554,AW560)+SUM(AW566,AW572,AW578,AW584,AW590,AW596,AW602,AW608,AW614,AW620,AW626,AW632,AW638,AW644,AW650,AW656,AW662,AW668,AW674,AW680,AW686,AW692,AW698,AW704,AW710,AW716,AW722,AW728,AW734,AW740)+SUM(AW746,AW752,AW758,AW764,AW770,AW776,AW782,AW788,AW794,AW800,AW806,AW812,AW818,AW824)+SUM(AW830,AW836,AW842,AW848,AW854,AW860,AW866,AW872,AW878,AW884,AW890,AW896,AW902,AW908,AW914,AW920,AW926,AW932,AW938,AW944,AW950,AW962,AW968,AW974,AW980,AW986,AW992,AW956,AW998,AW1004)</f>
        <v>9616991.540000001</v>
      </c>
      <c r="AX1028" s="49">
        <f>SUM(AX8,AX14,AX20,AX26)+SUM(AX32,AX38,AX44,AX50,AX56,AX62,AX68,AX74,AX80)+SUM(AX86,AX92,AX98,AX104,AX110,AX116,AX122,AX128,AX134,AX140,AX146,AX152,AX158,AX164,AX170,AX176)+SUM(AX182,AX188,AX194,AX200,AX206,AX212,AX218,AX224,AX230,AX236,AX242,AX248,AX254,AX260,AX266,AX272)+SUM(AX278,AX284,AX290,AX296,AX302,AX308,AX314,AX320,AX326,AX332,AX338,AX344,AX350,AX356,AX362,AX368,AX374,AX380,AX386,AX392)+SUM(AX398,AX404,AX410,AX416,AX422,AX428,AX434,AX440,AX446,AX452,AX458,AX464,AX470,AX476,AX482,AX488,AX494,AX500,AX506,AX512,AX518,AX524,AX530,AX536,AX542,AX548,AX554,AX560)+SUM(AX566,AX572,AX578,AX584,AX590,AX596,AX602,AX608,AX614,AX620,AX626,AX632,AX638,AX644,AX650,AX656,AX662,AX668,AX674,AX680,AX686,AX692,AX698,AX704,AX710,AX716,AX722,AX728,AX734,AX740)+SUM(AX746,AX752,AX758,AX764,AX770,AX776,AX782,AX788,AX794,AX800,AX806,AX812,AX818,AX824)+SUM(AX830,AX836,AX842,AX848,AX854,AX860,AX866,AX872,AX878,AX884,AX890,AX896,AX902,AX908,AX914,AX920,AX926,AX932,AX938,AX944,AX950,AX962,AX968,AX974,AX980,AX986,AX992,AX956,AX998,AX1004,AX1010,AX1016,AX1022)</f>
        <v>10070067.18</v>
      </c>
      <c r="AY1028" s="49">
        <f t="shared" ref="AY1028:BC1028" si="806">SUM(AY8,AY14,AY20,AY26)+SUM(AY32,AY38,AY44,AY50,AY56,AY62,AY68,AY74,AY80)+SUM(AY86,AY92,AY98,AY104,AY110,AY116,AY122,AY128,AY134,AY140,AY146,AY152,AY158,AY164,AY170,AY176)+SUM(AY182,AY188,AY194,AY200,AY206,AY212,AY218,AY224,AY230,AY236,AY242,AY248,AY254,AY260,AY266,AY272)+SUM(AY278,AY284,AY290,AY296,AY302,AY308,AY314,AY320,AY326,AY332,AY338,AY344,AY350,AY356,AY362,AY368,AY374,AY380,AY386,AY392)+SUM(AY398,AY404,AY410,AY416,AY422,AY428,AY434,AY440,AY446,AY452,AY458,AY464,AY470,AY476,AY482,AY488,AY494,AY500,AY506,AY512,AY518,AY524,AY530,AY536,AY542,AY548,AY554,AY560)+SUM(AY566,AY572,AY578,AY584,AY590,AY596,AY602,AY608,AY614,AY620,AY626,AY632,AY638,AY644,AY650,AY656,AY662,AY668,AY674,AY680,AY686,AY692,AY698,AY704,AY710,AY716,AY722,AY728,AY734,AY740)+SUM(AY746,AY752,AY758,AY764,AY770,AY776,AY782,AY788,AY794,AY800,AY806,AY812,AY818,AY824)+SUM(AY830,AY836,AY842,AY848,AY854,AY860,AY866,AY872,AY878,AY884,AY890,AY896,AY902,AY908,AY914,AY920,AY926,AY932,AY938,AY944,AY950,AY962,AY968,AY974,AY980,AY986,AY992,AY956,AY998,AY1004,AY1010,AY1016,AY1022)</f>
        <v>10059282.280000001</v>
      </c>
      <c r="AZ1028" s="49">
        <f t="shared" si="806"/>
        <v>10093392.720000001</v>
      </c>
      <c r="BA1028" s="49">
        <f t="shared" si="806"/>
        <v>10369093.17</v>
      </c>
      <c r="BB1028" s="49">
        <f t="shared" si="806"/>
        <v>10379510.07</v>
      </c>
      <c r="BC1028" s="49">
        <f t="shared" si="806"/>
        <v>10506824.309999999</v>
      </c>
      <c r="BD1028" s="49">
        <f>SUM(BD1025:BD1027)</f>
        <v>119028225.75</v>
      </c>
    </row>
    <row r="1029" spans="3:56" x14ac:dyDescent="0.3">
      <c r="D1029" s="8"/>
    </row>
    <row r="1030" spans="3:56" ht="15" customHeight="1" x14ac:dyDescent="0.3">
      <c r="C1030" s="51" t="s">
        <v>459</v>
      </c>
      <c r="D1030" s="52" t="s">
        <v>460</v>
      </c>
    </row>
    <row r="1031" spans="3:56" ht="15" customHeight="1" x14ac:dyDescent="0.3">
      <c r="C1031" s="9" t="s">
        <v>6</v>
      </c>
      <c r="D1031" s="53" t="s">
        <v>461</v>
      </c>
    </row>
    <row r="1032" spans="3:56" ht="15" customHeight="1" x14ac:dyDescent="0.3">
      <c r="C1032" s="54" t="s">
        <v>462</v>
      </c>
      <c r="D1032" s="55" t="s">
        <v>463</v>
      </c>
    </row>
    <row r="1033" spans="3:56" x14ac:dyDescent="0.3">
      <c r="D1033" s="8"/>
    </row>
    <row r="1034" spans="3:56" ht="105.75" customHeight="1" x14ac:dyDescent="0.3">
      <c r="D1034" s="8"/>
      <c r="H1034" s="56" t="s">
        <v>464</v>
      </c>
      <c r="O1034" s="57" t="s">
        <v>465</v>
      </c>
      <c r="W1034" s="58" t="s">
        <v>466</v>
      </c>
      <c r="AH1034" s="58" t="s">
        <v>467</v>
      </c>
      <c r="AI1034" s="58" t="s">
        <v>468</v>
      </c>
      <c r="AJ1034" s="59" t="s">
        <v>469</v>
      </c>
      <c r="AR1034" s="61" t="s">
        <v>471</v>
      </c>
      <c r="AS1034" s="64" t="s">
        <v>475</v>
      </c>
      <c r="AT1034" s="65"/>
      <c r="AU1034" s="64" t="s">
        <v>475</v>
      </c>
      <c r="AW1034" s="63" t="s">
        <v>926</v>
      </c>
      <c r="AY1034" s="111"/>
    </row>
    <row r="1035" spans="3:56" ht="12.75" customHeight="1" x14ac:dyDescent="0.3">
      <c r="D1035" s="8"/>
    </row>
    <row r="1036" spans="3:56" ht="375.5" x14ac:dyDescent="0.3">
      <c r="D1036" s="8"/>
      <c r="AR1036" s="63" t="s">
        <v>474</v>
      </c>
      <c r="AS1036" s="63" t="s">
        <v>473</v>
      </c>
      <c r="AT1036" s="75" t="s">
        <v>479</v>
      </c>
      <c r="AU1036" s="75" t="s">
        <v>479</v>
      </c>
      <c r="AW1036" s="63" t="s">
        <v>918</v>
      </c>
      <c r="AX1036" s="63" t="s">
        <v>920</v>
      </c>
      <c r="AY1036" s="63" t="s">
        <v>919</v>
      </c>
    </row>
    <row r="1037" spans="3:56" x14ac:dyDescent="0.3">
      <c r="D1037" s="8"/>
    </row>
    <row r="1038" spans="3:56" x14ac:dyDescent="0.3">
      <c r="D1038" s="8"/>
    </row>
    <row r="1039" spans="3:56" x14ac:dyDescent="0.3">
      <c r="D1039" s="8"/>
    </row>
    <row r="1040" spans="3:56" x14ac:dyDescent="0.3">
      <c r="D1040" s="8"/>
    </row>
    <row r="1041" spans="4:4" x14ac:dyDescent="0.3">
      <c r="D1041" s="8"/>
    </row>
    <row r="1042" spans="4:4" x14ac:dyDescent="0.3">
      <c r="D1042" s="8"/>
    </row>
    <row r="1043" spans="4:4" x14ac:dyDescent="0.3">
      <c r="D1043" s="8"/>
    </row>
    <row r="1044" spans="4:4" x14ac:dyDescent="0.3">
      <c r="D1044" s="8"/>
    </row>
    <row r="1045" spans="4:4" x14ac:dyDescent="0.3">
      <c r="D1045" s="8"/>
    </row>
    <row r="1046" spans="4:4" x14ac:dyDescent="0.3">
      <c r="D1046" s="8"/>
    </row>
    <row r="1047" spans="4:4" x14ac:dyDescent="0.3">
      <c r="D1047" s="8"/>
    </row>
    <row r="1048" spans="4:4" x14ac:dyDescent="0.3">
      <c r="D1048" s="8"/>
    </row>
    <row r="1049" spans="4:4" x14ac:dyDescent="0.3">
      <c r="D1049" s="8"/>
    </row>
    <row r="1050" spans="4:4" ht="12.4" customHeight="1" x14ac:dyDescent="0.3">
      <c r="D1050" s="8"/>
    </row>
    <row r="1051" spans="4:4" x14ac:dyDescent="0.3">
      <c r="D1051" s="8"/>
    </row>
    <row r="1052" spans="4:4" x14ac:dyDescent="0.3">
      <c r="D1052" s="8"/>
    </row>
    <row r="1053" spans="4:4" x14ac:dyDescent="0.3">
      <c r="D1053" s="8"/>
    </row>
    <row r="1054" spans="4:4" x14ac:dyDescent="0.3">
      <c r="D1054" s="8"/>
    </row>
    <row r="1055" spans="4:4" x14ac:dyDescent="0.3">
      <c r="D1055" s="8"/>
    </row>
    <row r="1056" spans="4:4" x14ac:dyDescent="0.3">
      <c r="D1056" s="8"/>
    </row>
    <row r="1057" spans="4:4" x14ac:dyDescent="0.3">
      <c r="D1057" s="8"/>
    </row>
    <row r="1058" spans="4:4" x14ac:dyDescent="0.3">
      <c r="D1058" s="8"/>
    </row>
    <row r="1059" spans="4:4" x14ac:dyDescent="0.3">
      <c r="D1059" s="8"/>
    </row>
    <row r="1060" spans="4:4" x14ac:dyDescent="0.3">
      <c r="D1060" s="8"/>
    </row>
    <row r="1061" spans="4:4" x14ac:dyDescent="0.3">
      <c r="D1061" s="8"/>
    </row>
    <row r="1062" spans="4:4" x14ac:dyDescent="0.3">
      <c r="D1062" s="8"/>
    </row>
    <row r="1063" spans="4:4" x14ac:dyDescent="0.3">
      <c r="D1063" s="8"/>
    </row>
    <row r="1064" spans="4:4" x14ac:dyDescent="0.3">
      <c r="D1064" s="8"/>
    </row>
    <row r="1065" spans="4:4" x14ac:dyDescent="0.3">
      <c r="D1065" s="8"/>
    </row>
    <row r="1066" spans="4:4" x14ac:dyDescent="0.3">
      <c r="D1066" s="8"/>
    </row>
    <row r="1067" spans="4:4" x14ac:dyDescent="0.3">
      <c r="D1067" s="8"/>
    </row>
    <row r="1068" spans="4:4" x14ac:dyDescent="0.3">
      <c r="D1068" s="8"/>
    </row>
    <row r="1069" spans="4:4" x14ac:dyDescent="0.3">
      <c r="D1069" s="8"/>
    </row>
    <row r="1070" spans="4:4" x14ac:dyDescent="0.3">
      <c r="D1070" s="8"/>
    </row>
    <row r="1071" spans="4:4" x14ac:dyDescent="0.3">
      <c r="D1071" s="8"/>
    </row>
    <row r="1072" spans="4:4" x14ac:dyDescent="0.3">
      <c r="D1072" s="8"/>
    </row>
    <row r="1073" spans="4:4" x14ac:dyDescent="0.3">
      <c r="D1073" s="8"/>
    </row>
    <row r="1074" spans="4:4" x14ac:dyDescent="0.3">
      <c r="D1074" s="8"/>
    </row>
    <row r="1075" spans="4:4" x14ac:dyDescent="0.3">
      <c r="D1075" s="8"/>
    </row>
    <row r="1076" spans="4:4" x14ac:dyDescent="0.3">
      <c r="D1076" s="8"/>
    </row>
    <row r="1077" spans="4:4" x14ac:dyDescent="0.3">
      <c r="D1077" s="8"/>
    </row>
    <row r="1078" spans="4:4" x14ac:dyDescent="0.3">
      <c r="D1078" s="8"/>
    </row>
    <row r="1079" spans="4:4" x14ac:dyDescent="0.3">
      <c r="D1079" s="8"/>
    </row>
    <row r="1080" spans="4:4" x14ac:dyDescent="0.3">
      <c r="D1080" s="8"/>
    </row>
  </sheetData>
  <mergeCells count="1">
    <mergeCell ref="AW1:BC1"/>
  </mergeCells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48" max="48" man="1"/>
    <brk id="333" min="48" max="48" man="1"/>
    <brk id="459" min="48" max="48" man="1"/>
    <brk id="585" min="48" max="48" man="1"/>
    <brk id="711" min="48" max="48" man="1"/>
    <brk id="837" min="48" max="48" man="1"/>
    <brk id="969" min="48" max="4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0"/>
  <sheetViews>
    <sheetView workbookViewId="0">
      <selection activeCell="P19" sqref="P19"/>
    </sheetView>
  </sheetViews>
  <sheetFormatPr defaultColWidth="9.1796875" defaultRowHeight="14.5" x14ac:dyDescent="0.35"/>
  <cols>
    <col min="1" max="1" width="5.81640625" style="84" bestFit="1" customWidth="1"/>
    <col min="2" max="2" width="14.1796875" style="84" bestFit="1" customWidth="1"/>
    <col min="3" max="3" width="32.26953125" style="84" bestFit="1" customWidth="1"/>
    <col min="4" max="4" width="13.26953125" style="85" bestFit="1" customWidth="1"/>
    <col min="5" max="16384" width="9.1796875" style="84"/>
  </cols>
  <sheetData>
    <row r="1" spans="1:4" x14ac:dyDescent="0.35">
      <c r="A1" s="82" t="s">
        <v>484</v>
      </c>
      <c r="B1" s="82" t="s">
        <v>485</v>
      </c>
      <c r="C1" s="82" t="s">
        <v>486</v>
      </c>
      <c r="D1" s="83" t="s">
        <v>487</v>
      </c>
    </row>
    <row r="2" spans="1:4" x14ac:dyDescent="0.35">
      <c r="A2" s="84" t="s">
        <v>488</v>
      </c>
      <c r="B2" s="84" t="s">
        <v>489</v>
      </c>
      <c r="C2" s="84" t="s">
        <v>490</v>
      </c>
      <c r="D2" s="85">
        <v>9</v>
      </c>
    </row>
    <row r="3" spans="1:4" x14ac:dyDescent="0.35">
      <c r="A3" s="84" t="s">
        <v>491</v>
      </c>
      <c r="B3" s="84" t="s">
        <v>489</v>
      </c>
      <c r="C3" s="84" t="s">
        <v>492</v>
      </c>
      <c r="D3" s="85">
        <v>9</v>
      </c>
    </row>
    <row r="4" spans="1:4" x14ac:dyDescent="0.35">
      <c r="A4" s="84" t="s">
        <v>493</v>
      </c>
      <c r="B4" s="84" t="s">
        <v>489</v>
      </c>
      <c r="C4" s="84" t="s">
        <v>494</v>
      </c>
      <c r="D4" s="85">
        <v>9</v>
      </c>
    </row>
    <row r="5" spans="1:4" x14ac:dyDescent="0.35">
      <c r="A5" s="84" t="s">
        <v>495</v>
      </c>
      <c r="B5" s="84" t="s">
        <v>489</v>
      </c>
      <c r="C5" s="84" t="s">
        <v>496</v>
      </c>
      <c r="D5" s="85">
        <v>9</v>
      </c>
    </row>
    <row r="6" spans="1:4" x14ac:dyDescent="0.35">
      <c r="A6" s="84" t="s">
        <v>497</v>
      </c>
      <c r="B6" s="84" t="s">
        <v>489</v>
      </c>
      <c r="C6" s="84" t="s">
        <v>498</v>
      </c>
      <c r="D6" s="85">
        <v>9</v>
      </c>
    </row>
    <row r="7" spans="1:4" x14ac:dyDescent="0.35">
      <c r="A7" s="84" t="s">
        <v>499</v>
      </c>
      <c r="B7" s="84" t="s">
        <v>489</v>
      </c>
      <c r="C7" s="84" t="s">
        <v>500</v>
      </c>
      <c r="D7" s="85">
        <v>9</v>
      </c>
    </row>
    <row r="8" spans="1:4" x14ac:dyDescent="0.35">
      <c r="A8" s="84" t="s">
        <v>501</v>
      </c>
      <c r="B8" s="84" t="s">
        <v>489</v>
      </c>
      <c r="C8" s="84" t="s">
        <v>502</v>
      </c>
      <c r="D8" s="85">
        <v>9</v>
      </c>
    </row>
    <row r="9" spans="1:4" x14ac:dyDescent="0.35">
      <c r="A9" s="84" t="s">
        <v>503</v>
      </c>
      <c r="B9" s="84" t="s">
        <v>504</v>
      </c>
      <c r="C9" s="84" t="s">
        <v>505</v>
      </c>
      <c r="D9" s="85">
        <v>12</v>
      </c>
    </row>
    <row r="10" spans="1:4" x14ac:dyDescent="0.35">
      <c r="A10" s="84" t="s">
        <v>506</v>
      </c>
      <c r="B10" s="84" t="s">
        <v>504</v>
      </c>
      <c r="C10" s="84" t="s">
        <v>507</v>
      </c>
      <c r="D10" s="85">
        <v>12</v>
      </c>
    </row>
    <row r="11" spans="1:4" x14ac:dyDescent="0.35">
      <c r="A11" s="84" t="s">
        <v>508</v>
      </c>
      <c r="B11" s="84" t="s">
        <v>509</v>
      </c>
      <c r="C11" s="84" t="s">
        <v>510</v>
      </c>
      <c r="D11" s="85">
        <v>9</v>
      </c>
    </row>
    <row r="12" spans="1:4" x14ac:dyDescent="0.35">
      <c r="A12" s="84" t="s">
        <v>511</v>
      </c>
      <c r="B12" s="84" t="s">
        <v>509</v>
      </c>
      <c r="C12" s="84" t="s">
        <v>512</v>
      </c>
      <c r="D12" s="85">
        <v>9</v>
      </c>
    </row>
    <row r="13" spans="1:4" x14ac:dyDescent="0.35">
      <c r="A13" s="84" t="s">
        <v>513</v>
      </c>
      <c r="B13" s="84" t="s">
        <v>509</v>
      </c>
      <c r="C13" s="84" t="s">
        <v>514</v>
      </c>
      <c r="D13" s="85">
        <v>9</v>
      </c>
    </row>
    <row r="14" spans="1:4" x14ac:dyDescent="0.35">
      <c r="A14" s="84" t="s">
        <v>515</v>
      </c>
      <c r="B14" s="84" t="s">
        <v>509</v>
      </c>
      <c r="C14" s="84" t="s">
        <v>516</v>
      </c>
      <c r="D14" s="85">
        <v>9</v>
      </c>
    </row>
    <row r="15" spans="1:4" x14ac:dyDescent="0.35">
      <c r="A15" s="84" t="s">
        <v>517</v>
      </c>
      <c r="B15" s="84" t="s">
        <v>509</v>
      </c>
      <c r="C15" s="84" t="s">
        <v>518</v>
      </c>
      <c r="D15" s="85">
        <v>12</v>
      </c>
    </row>
    <row r="16" spans="1:4" x14ac:dyDescent="0.35">
      <c r="A16" s="84" t="s">
        <v>519</v>
      </c>
      <c r="B16" s="84" t="s">
        <v>509</v>
      </c>
      <c r="C16" s="84" t="s">
        <v>520</v>
      </c>
      <c r="D16" s="85">
        <v>9</v>
      </c>
    </row>
    <row r="17" spans="1:4" x14ac:dyDescent="0.35">
      <c r="A17" s="84" t="s">
        <v>521</v>
      </c>
      <c r="B17" s="84" t="s">
        <v>509</v>
      </c>
      <c r="C17" s="84" t="s">
        <v>522</v>
      </c>
      <c r="D17" s="85">
        <v>12</v>
      </c>
    </row>
    <row r="18" spans="1:4" x14ac:dyDescent="0.35">
      <c r="A18" s="84" t="s">
        <v>523</v>
      </c>
      <c r="B18" s="84" t="s">
        <v>524</v>
      </c>
      <c r="C18" s="84" t="s">
        <v>525</v>
      </c>
      <c r="D18" s="85">
        <v>9</v>
      </c>
    </row>
    <row r="19" spans="1:4" x14ac:dyDescent="0.35">
      <c r="A19" s="84" t="s">
        <v>526</v>
      </c>
      <c r="B19" s="84" t="s">
        <v>527</v>
      </c>
      <c r="C19" s="84" t="s">
        <v>528</v>
      </c>
      <c r="D19" s="85">
        <v>9</v>
      </c>
    </row>
    <row r="20" spans="1:4" x14ac:dyDescent="0.35">
      <c r="A20" s="84" t="s">
        <v>529</v>
      </c>
      <c r="B20" s="84" t="s">
        <v>527</v>
      </c>
      <c r="C20" s="84" t="s">
        <v>530</v>
      </c>
      <c r="D20" s="85">
        <v>9</v>
      </c>
    </row>
    <row r="21" spans="1:4" x14ac:dyDescent="0.35">
      <c r="A21" s="84" t="s">
        <v>531</v>
      </c>
      <c r="B21" s="84" t="s">
        <v>527</v>
      </c>
      <c r="C21" s="84" t="s">
        <v>532</v>
      </c>
      <c r="D21" s="85">
        <v>12</v>
      </c>
    </row>
    <row r="22" spans="1:4" x14ac:dyDescent="0.35">
      <c r="A22" s="84" t="s">
        <v>533</v>
      </c>
      <c r="B22" s="84" t="s">
        <v>527</v>
      </c>
      <c r="C22" s="84" t="s">
        <v>534</v>
      </c>
      <c r="D22" s="85">
        <v>9</v>
      </c>
    </row>
    <row r="23" spans="1:4" x14ac:dyDescent="0.35">
      <c r="A23" s="84" t="s">
        <v>535</v>
      </c>
      <c r="B23" s="84" t="s">
        <v>527</v>
      </c>
      <c r="C23" s="84" t="s">
        <v>536</v>
      </c>
      <c r="D23" s="85">
        <v>9</v>
      </c>
    </row>
    <row r="24" spans="1:4" x14ac:dyDescent="0.35">
      <c r="A24" s="84" t="s">
        <v>537</v>
      </c>
      <c r="B24" s="84" t="s">
        <v>538</v>
      </c>
      <c r="C24" s="84" t="s">
        <v>539</v>
      </c>
      <c r="D24" s="85">
        <v>12</v>
      </c>
    </row>
    <row r="25" spans="1:4" x14ac:dyDescent="0.35">
      <c r="A25" s="84" t="s">
        <v>540</v>
      </c>
      <c r="B25" s="84" t="s">
        <v>538</v>
      </c>
      <c r="C25" s="84" t="s">
        <v>541</v>
      </c>
      <c r="D25" s="85">
        <v>9</v>
      </c>
    </row>
    <row r="26" spans="1:4" x14ac:dyDescent="0.35">
      <c r="A26" s="84" t="s">
        <v>542</v>
      </c>
      <c r="B26" s="84" t="s">
        <v>543</v>
      </c>
      <c r="C26" s="84" t="s">
        <v>544</v>
      </c>
      <c r="D26" s="85">
        <v>9</v>
      </c>
    </row>
    <row r="27" spans="1:4" x14ac:dyDescent="0.35">
      <c r="A27" s="84" t="s">
        <v>545</v>
      </c>
      <c r="B27" s="84" t="s">
        <v>543</v>
      </c>
      <c r="C27" s="84" t="s">
        <v>546</v>
      </c>
      <c r="D27" s="85">
        <v>9</v>
      </c>
    </row>
    <row r="28" spans="1:4" x14ac:dyDescent="0.35">
      <c r="A28" s="84" t="s">
        <v>547</v>
      </c>
      <c r="B28" s="84" t="s">
        <v>548</v>
      </c>
      <c r="C28" s="84" t="s">
        <v>549</v>
      </c>
      <c r="D28" s="85">
        <v>9</v>
      </c>
    </row>
    <row r="29" spans="1:4" x14ac:dyDescent="0.35">
      <c r="A29" s="84" t="s">
        <v>550</v>
      </c>
      <c r="B29" s="84" t="s">
        <v>548</v>
      </c>
      <c r="C29" s="84" t="s">
        <v>551</v>
      </c>
      <c r="D29" s="85">
        <v>9</v>
      </c>
    </row>
    <row r="30" spans="1:4" x14ac:dyDescent="0.35">
      <c r="A30" s="84" t="s">
        <v>552</v>
      </c>
      <c r="B30" s="84" t="s">
        <v>553</v>
      </c>
      <c r="C30" s="84" t="s">
        <v>554</v>
      </c>
      <c r="D30" s="85">
        <v>12</v>
      </c>
    </row>
    <row r="31" spans="1:4" x14ac:dyDescent="0.35">
      <c r="A31" s="84" t="s">
        <v>555</v>
      </c>
      <c r="B31" s="84" t="s">
        <v>553</v>
      </c>
      <c r="C31" s="84" t="s">
        <v>556</v>
      </c>
      <c r="D31" s="85">
        <v>12</v>
      </c>
    </row>
    <row r="32" spans="1:4" x14ac:dyDescent="0.35">
      <c r="A32" s="84" t="s">
        <v>557</v>
      </c>
      <c r="B32" s="84" t="s">
        <v>558</v>
      </c>
      <c r="C32" s="84" t="s">
        <v>559</v>
      </c>
      <c r="D32" s="85">
        <v>9</v>
      </c>
    </row>
    <row r="33" spans="1:4" x14ac:dyDescent="0.35">
      <c r="A33" s="84" t="s">
        <v>560</v>
      </c>
      <c r="B33" s="84" t="s">
        <v>561</v>
      </c>
      <c r="C33" s="84" t="s">
        <v>562</v>
      </c>
      <c r="D33" s="85">
        <v>9</v>
      </c>
    </row>
    <row r="34" spans="1:4" x14ac:dyDescent="0.35">
      <c r="A34" s="84" t="s">
        <v>563</v>
      </c>
      <c r="B34" s="84" t="s">
        <v>561</v>
      </c>
      <c r="C34" s="84" t="s">
        <v>564</v>
      </c>
      <c r="D34" s="85">
        <v>12</v>
      </c>
    </row>
    <row r="35" spans="1:4" x14ac:dyDescent="0.35">
      <c r="A35" s="84" t="s">
        <v>565</v>
      </c>
      <c r="B35" s="84" t="s">
        <v>561</v>
      </c>
      <c r="C35" s="84" t="s">
        <v>566</v>
      </c>
      <c r="D35" s="85">
        <v>9</v>
      </c>
    </row>
    <row r="36" spans="1:4" x14ac:dyDescent="0.35">
      <c r="A36" s="84" t="s">
        <v>567</v>
      </c>
      <c r="B36" s="84" t="s">
        <v>568</v>
      </c>
      <c r="C36" s="84" t="s">
        <v>569</v>
      </c>
      <c r="D36" s="85">
        <v>12</v>
      </c>
    </row>
    <row r="37" spans="1:4" x14ac:dyDescent="0.35">
      <c r="A37" s="84" t="s">
        <v>570</v>
      </c>
      <c r="B37" s="84" t="s">
        <v>568</v>
      </c>
      <c r="C37" s="84" t="s">
        <v>571</v>
      </c>
      <c r="D37" s="85">
        <v>9</v>
      </c>
    </row>
    <row r="38" spans="1:4" x14ac:dyDescent="0.35">
      <c r="A38" s="84" t="s">
        <v>572</v>
      </c>
      <c r="B38" s="84" t="s">
        <v>573</v>
      </c>
      <c r="C38" s="84" t="s">
        <v>574</v>
      </c>
      <c r="D38" s="85">
        <v>9</v>
      </c>
    </row>
    <row r="39" spans="1:4" x14ac:dyDescent="0.35">
      <c r="A39" s="84" t="s">
        <v>575</v>
      </c>
      <c r="B39" s="84" t="s">
        <v>576</v>
      </c>
      <c r="C39" s="84" t="s">
        <v>577</v>
      </c>
      <c r="D39" s="85">
        <v>9</v>
      </c>
    </row>
    <row r="40" spans="1:4" x14ac:dyDescent="0.35">
      <c r="A40" s="84" t="s">
        <v>578</v>
      </c>
      <c r="B40" s="84" t="s">
        <v>579</v>
      </c>
      <c r="C40" s="84" t="s">
        <v>580</v>
      </c>
      <c r="D40" s="85">
        <v>9</v>
      </c>
    </row>
    <row r="41" spans="1:4" x14ac:dyDescent="0.35">
      <c r="A41" s="84" t="s">
        <v>581</v>
      </c>
      <c r="B41" s="84" t="s">
        <v>582</v>
      </c>
      <c r="C41" s="84" t="s">
        <v>583</v>
      </c>
      <c r="D41" s="85">
        <v>9</v>
      </c>
    </row>
    <row r="42" spans="1:4" x14ac:dyDescent="0.35">
      <c r="A42" s="84" t="s">
        <v>584</v>
      </c>
      <c r="B42" s="84" t="s">
        <v>585</v>
      </c>
      <c r="C42" s="84" t="s">
        <v>586</v>
      </c>
      <c r="D42" s="85">
        <v>9</v>
      </c>
    </row>
    <row r="43" spans="1:4" x14ac:dyDescent="0.35">
      <c r="A43" s="84" t="s">
        <v>587</v>
      </c>
      <c r="B43" s="84" t="s">
        <v>588</v>
      </c>
      <c r="C43" s="84" t="s">
        <v>589</v>
      </c>
      <c r="D43" s="85">
        <v>9</v>
      </c>
    </row>
    <row r="44" spans="1:4" x14ac:dyDescent="0.35">
      <c r="A44" s="84" t="s">
        <v>590</v>
      </c>
      <c r="B44" s="84" t="s">
        <v>591</v>
      </c>
      <c r="C44" s="84" t="s">
        <v>592</v>
      </c>
      <c r="D44" s="85">
        <v>9</v>
      </c>
    </row>
    <row r="45" spans="1:4" x14ac:dyDescent="0.35">
      <c r="A45" s="84" t="s">
        <v>593</v>
      </c>
      <c r="B45" s="84" t="s">
        <v>594</v>
      </c>
      <c r="C45" s="84" t="s">
        <v>595</v>
      </c>
      <c r="D45" s="85">
        <v>9</v>
      </c>
    </row>
    <row r="46" spans="1:4" x14ac:dyDescent="0.35">
      <c r="A46" s="84" t="s">
        <v>596</v>
      </c>
      <c r="B46" s="84" t="s">
        <v>594</v>
      </c>
      <c r="C46" s="84" t="s">
        <v>597</v>
      </c>
      <c r="D46" s="85">
        <v>12</v>
      </c>
    </row>
    <row r="47" spans="1:4" x14ac:dyDescent="0.35">
      <c r="A47" s="84" t="s">
        <v>598</v>
      </c>
      <c r="B47" s="84" t="s">
        <v>594</v>
      </c>
      <c r="C47" s="84" t="s">
        <v>599</v>
      </c>
      <c r="D47" s="85">
        <v>9</v>
      </c>
    </row>
    <row r="48" spans="1:4" x14ac:dyDescent="0.35">
      <c r="A48" s="84" t="s">
        <v>600</v>
      </c>
      <c r="B48" s="84" t="s">
        <v>594</v>
      </c>
      <c r="C48" s="84" t="s">
        <v>601</v>
      </c>
      <c r="D48" s="85">
        <v>9</v>
      </c>
    </row>
    <row r="49" spans="1:4" x14ac:dyDescent="0.35">
      <c r="A49" s="84" t="s">
        <v>602</v>
      </c>
      <c r="B49" s="84" t="s">
        <v>594</v>
      </c>
      <c r="C49" s="84" t="s">
        <v>603</v>
      </c>
      <c r="D49" s="85">
        <v>9</v>
      </c>
    </row>
    <row r="50" spans="1:4" x14ac:dyDescent="0.35">
      <c r="A50" s="84" t="s">
        <v>604</v>
      </c>
      <c r="B50" s="84" t="s">
        <v>605</v>
      </c>
      <c r="C50" s="84" t="s">
        <v>606</v>
      </c>
      <c r="D50" s="85">
        <v>9</v>
      </c>
    </row>
    <row r="51" spans="1:4" x14ac:dyDescent="0.35">
      <c r="A51" s="84" t="s">
        <v>607</v>
      </c>
      <c r="B51" s="84" t="s">
        <v>605</v>
      </c>
      <c r="C51" s="84" t="s">
        <v>608</v>
      </c>
      <c r="D51" s="85">
        <v>9</v>
      </c>
    </row>
    <row r="52" spans="1:4" x14ac:dyDescent="0.35">
      <c r="A52" s="84" t="s">
        <v>609</v>
      </c>
      <c r="B52" s="84" t="s">
        <v>605</v>
      </c>
      <c r="C52" s="84" t="s">
        <v>610</v>
      </c>
      <c r="D52" s="85">
        <v>9</v>
      </c>
    </row>
    <row r="53" spans="1:4" x14ac:dyDescent="0.35">
      <c r="A53" s="84" t="s">
        <v>611</v>
      </c>
      <c r="B53" s="84" t="s">
        <v>605</v>
      </c>
      <c r="C53" s="84" t="s">
        <v>612</v>
      </c>
      <c r="D53" s="85">
        <v>9</v>
      </c>
    </row>
    <row r="54" spans="1:4" x14ac:dyDescent="0.35">
      <c r="A54" s="84" t="s">
        <v>613</v>
      </c>
      <c r="B54" s="84" t="s">
        <v>605</v>
      </c>
      <c r="C54" s="84" t="s">
        <v>614</v>
      </c>
      <c r="D54" s="85">
        <v>9</v>
      </c>
    </row>
    <row r="55" spans="1:4" x14ac:dyDescent="0.35">
      <c r="A55" s="84" t="s">
        <v>615</v>
      </c>
      <c r="B55" s="84" t="s">
        <v>605</v>
      </c>
      <c r="C55" s="84" t="s">
        <v>616</v>
      </c>
      <c r="D55" s="85">
        <v>9</v>
      </c>
    </row>
    <row r="56" spans="1:4" x14ac:dyDescent="0.35">
      <c r="A56" s="84" t="s">
        <v>617</v>
      </c>
      <c r="B56" s="84" t="s">
        <v>605</v>
      </c>
      <c r="C56" s="84" t="s">
        <v>618</v>
      </c>
      <c r="D56" s="85">
        <v>9</v>
      </c>
    </row>
    <row r="57" spans="1:4" x14ac:dyDescent="0.35">
      <c r="A57" s="84" t="s">
        <v>619</v>
      </c>
      <c r="B57" s="84" t="s">
        <v>605</v>
      </c>
      <c r="C57" s="84" t="s">
        <v>620</v>
      </c>
      <c r="D57" s="85">
        <v>9</v>
      </c>
    </row>
    <row r="58" spans="1:4" x14ac:dyDescent="0.35">
      <c r="A58" s="84" t="s">
        <v>621</v>
      </c>
      <c r="B58" s="84" t="s">
        <v>605</v>
      </c>
      <c r="C58" s="84" t="s">
        <v>622</v>
      </c>
      <c r="D58" s="85">
        <v>9</v>
      </c>
    </row>
    <row r="59" spans="1:4" x14ac:dyDescent="0.35">
      <c r="A59" s="84" t="s">
        <v>623</v>
      </c>
      <c r="B59" s="84" t="s">
        <v>605</v>
      </c>
      <c r="C59" s="84" t="s">
        <v>624</v>
      </c>
      <c r="D59" s="85">
        <v>9</v>
      </c>
    </row>
    <row r="60" spans="1:4" x14ac:dyDescent="0.35">
      <c r="A60" s="84" t="s">
        <v>625</v>
      </c>
      <c r="B60" s="84" t="s">
        <v>605</v>
      </c>
      <c r="C60" s="84" t="s">
        <v>626</v>
      </c>
      <c r="D60" s="85">
        <v>9</v>
      </c>
    </row>
    <row r="61" spans="1:4" x14ac:dyDescent="0.35">
      <c r="A61" s="84" t="s">
        <v>627</v>
      </c>
      <c r="B61" s="84" t="s">
        <v>605</v>
      </c>
      <c r="C61" s="84" t="s">
        <v>628</v>
      </c>
      <c r="D61" s="85">
        <v>9</v>
      </c>
    </row>
    <row r="62" spans="1:4" x14ac:dyDescent="0.35">
      <c r="A62" s="84" t="s">
        <v>629</v>
      </c>
      <c r="B62" s="84" t="s">
        <v>605</v>
      </c>
      <c r="C62" s="84" t="s">
        <v>630</v>
      </c>
      <c r="D62" s="85">
        <v>9</v>
      </c>
    </row>
    <row r="63" spans="1:4" x14ac:dyDescent="0.35">
      <c r="A63" s="84" t="s">
        <v>631</v>
      </c>
      <c r="B63" s="84" t="s">
        <v>605</v>
      </c>
      <c r="C63" s="84" t="s">
        <v>632</v>
      </c>
      <c r="D63" s="85">
        <v>12</v>
      </c>
    </row>
    <row r="64" spans="1:4" x14ac:dyDescent="0.35">
      <c r="A64" s="84" t="s">
        <v>633</v>
      </c>
      <c r="B64" s="84" t="s">
        <v>605</v>
      </c>
      <c r="C64" s="84" t="s">
        <v>634</v>
      </c>
      <c r="D64" s="85">
        <v>9</v>
      </c>
    </row>
    <row r="65" spans="1:4" x14ac:dyDescent="0.35">
      <c r="A65" s="84" t="s">
        <v>635</v>
      </c>
      <c r="B65" s="84" t="s">
        <v>636</v>
      </c>
      <c r="C65" s="84" t="s">
        <v>637</v>
      </c>
      <c r="D65" s="85">
        <v>9</v>
      </c>
    </row>
    <row r="66" spans="1:4" x14ac:dyDescent="0.35">
      <c r="A66" s="84" t="s">
        <v>638</v>
      </c>
      <c r="B66" s="84" t="s">
        <v>636</v>
      </c>
      <c r="C66" s="84" t="s">
        <v>639</v>
      </c>
      <c r="D66" s="85">
        <v>12</v>
      </c>
    </row>
    <row r="67" spans="1:4" x14ac:dyDescent="0.35">
      <c r="A67" s="84" t="s">
        <v>640</v>
      </c>
      <c r="B67" s="84" t="s">
        <v>636</v>
      </c>
      <c r="C67" s="84" t="s">
        <v>641</v>
      </c>
      <c r="D67" s="85">
        <v>9</v>
      </c>
    </row>
    <row r="68" spans="1:4" x14ac:dyDescent="0.35">
      <c r="A68" s="84" t="s">
        <v>642</v>
      </c>
      <c r="B68" s="84" t="s">
        <v>643</v>
      </c>
      <c r="C68" s="84" t="s">
        <v>644</v>
      </c>
      <c r="D68" s="85">
        <v>9</v>
      </c>
    </row>
    <row r="69" spans="1:4" x14ac:dyDescent="0.35">
      <c r="A69" s="84" t="s">
        <v>645</v>
      </c>
      <c r="B69" s="84" t="s">
        <v>643</v>
      </c>
      <c r="C69" s="84" t="s">
        <v>646</v>
      </c>
      <c r="D69" s="85">
        <v>9</v>
      </c>
    </row>
    <row r="70" spans="1:4" x14ac:dyDescent="0.35">
      <c r="A70" s="84" t="s">
        <v>647</v>
      </c>
      <c r="B70" s="84" t="s">
        <v>643</v>
      </c>
      <c r="C70" s="84" t="s">
        <v>648</v>
      </c>
      <c r="D70" s="85">
        <v>9</v>
      </c>
    </row>
    <row r="71" spans="1:4" x14ac:dyDescent="0.35">
      <c r="A71" s="84" t="s">
        <v>649</v>
      </c>
      <c r="B71" s="84" t="s">
        <v>650</v>
      </c>
      <c r="C71" s="84" t="s">
        <v>651</v>
      </c>
      <c r="D71" s="85">
        <v>12</v>
      </c>
    </row>
    <row r="72" spans="1:4" x14ac:dyDescent="0.35">
      <c r="A72" s="84" t="s">
        <v>652</v>
      </c>
      <c r="B72" s="84" t="s">
        <v>653</v>
      </c>
      <c r="C72" s="84" t="s">
        <v>654</v>
      </c>
      <c r="D72" s="85">
        <v>12</v>
      </c>
    </row>
    <row r="73" spans="1:4" x14ac:dyDescent="0.35">
      <c r="A73" s="84" t="s">
        <v>655</v>
      </c>
      <c r="B73" s="84" t="s">
        <v>653</v>
      </c>
      <c r="C73" s="84" t="s">
        <v>656</v>
      </c>
      <c r="D73" s="85">
        <v>9</v>
      </c>
    </row>
    <row r="74" spans="1:4" x14ac:dyDescent="0.35">
      <c r="A74" s="84" t="s">
        <v>657</v>
      </c>
      <c r="B74" s="84" t="s">
        <v>658</v>
      </c>
      <c r="C74" s="84" t="s">
        <v>659</v>
      </c>
      <c r="D74" s="85">
        <v>9</v>
      </c>
    </row>
    <row r="75" spans="1:4" x14ac:dyDescent="0.35">
      <c r="A75" s="84" t="s">
        <v>660</v>
      </c>
      <c r="B75" s="84" t="s">
        <v>661</v>
      </c>
      <c r="C75" s="84" t="s">
        <v>662</v>
      </c>
      <c r="D75" s="85">
        <v>9</v>
      </c>
    </row>
    <row r="76" spans="1:4" x14ac:dyDescent="0.35">
      <c r="A76" s="84" t="s">
        <v>663</v>
      </c>
      <c r="B76" s="84" t="s">
        <v>664</v>
      </c>
      <c r="C76" s="84" t="s">
        <v>665</v>
      </c>
      <c r="D76" s="85">
        <v>9</v>
      </c>
    </row>
    <row r="77" spans="1:4" x14ac:dyDescent="0.35">
      <c r="A77" s="84" t="s">
        <v>666</v>
      </c>
      <c r="B77" s="84" t="s">
        <v>664</v>
      </c>
      <c r="C77" s="84" t="s">
        <v>667</v>
      </c>
      <c r="D77" s="85">
        <v>9</v>
      </c>
    </row>
    <row r="78" spans="1:4" x14ac:dyDescent="0.35">
      <c r="A78" s="84" t="s">
        <v>668</v>
      </c>
      <c r="B78" s="84" t="s">
        <v>669</v>
      </c>
      <c r="C78" s="84" t="s">
        <v>670</v>
      </c>
      <c r="D78" s="85">
        <v>9</v>
      </c>
    </row>
    <row r="79" spans="1:4" x14ac:dyDescent="0.35">
      <c r="A79" s="84" t="s">
        <v>671</v>
      </c>
      <c r="B79" s="84" t="s">
        <v>672</v>
      </c>
      <c r="C79" s="84" t="s">
        <v>673</v>
      </c>
      <c r="D79" s="85">
        <v>9</v>
      </c>
    </row>
    <row r="80" spans="1:4" x14ac:dyDescent="0.35">
      <c r="A80" s="84" t="s">
        <v>674</v>
      </c>
      <c r="B80" s="84" t="s">
        <v>675</v>
      </c>
      <c r="C80" s="84" t="s">
        <v>676</v>
      </c>
      <c r="D80" s="85">
        <v>12</v>
      </c>
    </row>
    <row r="81" spans="1:4" x14ac:dyDescent="0.35">
      <c r="A81" s="84" t="s">
        <v>677</v>
      </c>
      <c r="B81" s="84" t="s">
        <v>675</v>
      </c>
      <c r="C81" s="84" t="s">
        <v>678</v>
      </c>
      <c r="D81" s="85">
        <v>9</v>
      </c>
    </row>
    <row r="82" spans="1:4" x14ac:dyDescent="0.35">
      <c r="A82" s="84" t="s">
        <v>679</v>
      </c>
      <c r="B82" s="84" t="s">
        <v>680</v>
      </c>
      <c r="C82" s="84" t="s">
        <v>681</v>
      </c>
      <c r="D82" s="85">
        <v>9</v>
      </c>
    </row>
    <row r="83" spans="1:4" x14ac:dyDescent="0.35">
      <c r="A83" s="84" t="s">
        <v>682</v>
      </c>
      <c r="B83" s="84" t="s">
        <v>680</v>
      </c>
      <c r="C83" s="84" t="s">
        <v>683</v>
      </c>
      <c r="D83" s="85">
        <v>12</v>
      </c>
    </row>
    <row r="84" spans="1:4" x14ac:dyDescent="0.35">
      <c r="A84" s="84" t="s">
        <v>684</v>
      </c>
      <c r="B84" s="84" t="s">
        <v>680</v>
      </c>
      <c r="C84" s="84" t="s">
        <v>685</v>
      </c>
      <c r="D84" s="85">
        <v>12</v>
      </c>
    </row>
    <row r="85" spans="1:4" x14ac:dyDescent="0.35">
      <c r="A85" s="84" t="s">
        <v>686</v>
      </c>
      <c r="B85" s="84" t="s">
        <v>680</v>
      </c>
      <c r="C85" s="84" t="s">
        <v>687</v>
      </c>
      <c r="D85" s="85">
        <v>9</v>
      </c>
    </row>
    <row r="86" spans="1:4" x14ac:dyDescent="0.35">
      <c r="A86" s="84" t="s">
        <v>688</v>
      </c>
      <c r="B86" s="84" t="s">
        <v>680</v>
      </c>
      <c r="C86" s="84" t="s">
        <v>689</v>
      </c>
      <c r="D86" s="85">
        <v>9</v>
      </c>
    </row>
    <row r="87" spans="1:4" x14ac:dyDescent="0.35">
      <c r="A87" s="84" t="s">
        <v>690</v>
      </c>
      <c r="B87" s="84" t="s">
        <v>691</v>
      </c>
      <c r="C87" s="84" t="s">
        <v>692</v>
      </c>
      <c r="D87" s="85">
        <v>9</v>
      </c>
    </row>
    <row r="88" spans="1:4" x14ac:dyDescent="0.35">
      <c r="A88" s="84" t="s">
        <v>693</v>
      </c>
      <c r="B88" s="84" t="s">
        <v>694</v>
      </c>
      <c r="C88" s="84" t="s">
        <v>695</v>
      </c>
      <c r="D88" s="85">
        <v>12</v>
      </c>
    </row>
    <row r="89" spans="1:4" x14ac:dyDescent="0.35">
      <c r="A89" s="84" t="s">
        <v>696</v>
      </c>
      <c r="B89" s="84" t="s">
        <v>694</v>
      </c>
      <c r="C89" s="84" t="s">
        <v>697</v>
      </c>
      <c r="D89" s="85">
        <v>9</v>
      </c>
    </row>
    <row r="90" spans="1:4" x14ac:dyDescent="0.35">
      <c r="A90" s="84" t="s">
        <v>698</v>
      </c>
      <c r="B90" s="84" t="s">
        <v>694</v>
      </c>
      <c r="C90" s="84" t="s">
        <v>699</v>
      </c>
      <c r="D90" s="85">
        <v>12</v>
      </c>
    </row>
    <row r="91" spans="1:4" x14ac:dyDescent="0.35">
      <c r="A91" s="84" t="s">
        <v>700</v>
      </c>
      <c r="B91" s="84" t="s">
        <v>701</v>
      </c>
      <c r="C91" s="84" t="s">
        <v>702</v>
      </c>
      <c r="D91" s="85">
        <v>9</v>
      </c>
    </row>
    <row r="92" spans="1:4" x14ac:dyDescent="0.35">
      <c r="A92" s="84" t="s">
        <v>703</v>
      </c>
      <c r="B92" s="84" t="s">
        <v>701</v>
      </c>
      <c r="C92" s="84" t="s">
        <v>704</v>
      </c>
      <c r="D92" s="85">
        <v>9</v>
      </c>
    </row>
    <row r="93" spans="1:4" x14ac:dyDescent="0.35">
      <c r="A93" s="84" t="s">
        <v>705</v>
      </c>
      <c r="B93" s="84" t="s">
        <v>701</v>
      </c>
      <c r="C93" s="84" t="s">
        <v>706</v>
      </c>
      <c r="D93" s="85">
        <v>9</v>
      </c>
    </row>
    <row r="94" spans="1:4" x14ac:dyDescent="0.35">
      <c r="A94" s="84" t="s">
        <v>707</v>
      </c>
      <c r="B94" s="84" t="s">
        <v>708</v>
      </c>
      <c r="C94" s="84" t="s">
        <v>709</v>
      </c>
      <c r="D94" s="85">
        <v>9</v>
      </c>
    </row>
    <row r="95" spans="1:4" x14ac:dyDescent="0.35">
      <c r="A95" s="84" t="s">
        <v>710</v>
      </c>
      <c r="B95" s="84" t="s">
        <v>708</v>
      </c>
      <c r="C95" s="84" t="s">
        <v>711</v>
      </c>
      <c r="D95" s="85">
        <v>9</v>
      </c>
    </row>
    <row r="96" spans="1:4" x14ac:dyDescent="0.35">
      <c r="A96" s="84" t="s">
        <v>712</v>
      </c>
      <c r="B96" s="84" t="s">
        <v>708</v>
      </c>
      <c r="C96" s="84" t="s">
        <v>713</v>
      </c>
      <c r="D96" s="85">
        <v>12</v>
      </c>
    </row>
    <row r="97" spans="1:4" x14ac:dyDescent="0.35">
      <c r="A97" s="84" t="s">
        <v>714</v>
      </c>
      <c r="B97" s="84" t="s">
        <v>708</v>
      </c>
      <c r="C97" s="84" t="s">
        <v>715</v>
      </c>
      <c r="D97" s="85">
        <v>9</v>
      </c>
    </row>
    <row r="98" spans="1:4" x14ac:dyDescent="0.35">
      <c r="A98" s="84" t="s">
        <v>716</v>
      </c>
      <c r="B98" s="84" t="s">
        <v>708</v>
      </c>
      <c r="C98" s="84" t="s">
        <v>717</v>
      </c>
      <c r="D98" s="85">
        <v>12</v>
      </c>
    </row>
    <row r="99" spans="1:4" x14ac:dyDescent="0.35">
      <c r="A99" s="84" t="s">
        <v>718</v>
      </c>
      <c r="B99" s="84" t="s">
        <v>708</v>
      </c>
      <c r="C99" s="84" t="s">
        <v>719</v>
      </c>
      <c r="D99" s="85">
        <v>9</v>
      </c>
    </row>
    <row r="100" spans="1:4" x14ac:dyDescent="0.35">
      <c r="A100" s="84" t="s">
        <v>720</v>
      </c>
      <c r="B100" s="84" t="s">
        <v>721</v>
      </c>
      <c r="C100" s="84" t="s">
        <v>722</v>
      </c>
      <c r="D100" s="85">
        <v>9</v>
      </c>
    </row>
    <row r="101" spans="1:4" x14ac:dyDescent="0.35">
      <c r="A101" s="84" t="s">
        <v>723</v>
      </c>
      <c r="B101" s="84" t="s">
        <v>721</v>
      </c>
      <c r="C101" s="84" t="s">
        <v>724</v>
      </c>
      <c r="D101" s="85">
        <v>9</v>
      </c>
    </row>
    <row r="102" spans="1:4" x14ac:dyDescent="0.35">
      <c r="A102" s="84" t="s">
        <v>725</v>
      </c>
      <c r="B102" s="84" t="s">
        <v>721</v>
      </c>
      <c r="C102" s="84" t="s">
        <v>726</v>
      </c>
      <c r="D102" s="85">
        <v>9</v>
      </c>
    </row>
    <row r="103" spans="1:4" x14ac:dyDescent="0.35">
      <c r="A103" s="84" t="s">
        <v>727</v>
      </c>
      <c r="B103" s="84" t="s">
        <v>728</v>
      </c>
      <c r="C103" s="84" t="s">
        <v>729</v>
      </c>
      <c r="D103" s="85">
        <v>9</v>
      </c>
    </row>
    <row r="104" spans="1:4" x14ac:dyDescent="0.35">
      <c r="A104" s="84" t="s">
        <v>730</v>
      </c>
      <c r="B104" s="84" t="s">
        <v>728</v>
      </c>
      <c r="C104" s="84" t="s">
        <v>731</v>
      </c>
      <c r="D104" s="85">
        <v>12</v>
      </c>
    </row>
    <row r="105" spans="1:4" x14ac:dyDescent="0.35">
      <c r="A105" s="84" t="s">
        <v>732</v>
      </c>
      <c r="B105" s="84" t="s">
        <v>728</v>
      </c>
      <c r="C105" s="84" t="s">
        <v>733</v>
      </c>
      <c r="D105" s="85">
        <v>12</v>
      </c>
    </row>
    <row r="106" spans="1:4" x14ac:dyDescent="0.35">
      <c r="A106" s="84" t="s">
        <v>734</v>
      </c>
      <c r="B106" s="84" t="s">
        <v>728</v>
      </c>
      <c r="C106" s="84" t="s">
        <v>735</v>
      </c>
      <c r="D106" s="85">
        <v>12</v>
      </c>
    </row>
    <row r="107" spans="1:4" x14ac:dyDescent="0.35">
      <c r="A107" s="84" t="s">
        <v>736</v>
      </c>
      <c r="B107" s="84" t="s">
        <v>737</v>
      </c>
      <c r="C107" s="84" t="s">
        <v>738</v>
      </c>
      <c r="D107" s="85">
        <v>9</v>
      </c>
    </row>
    <row r="108" spans="1:4" x14ac:dyDescent="0.35">
      <c r="A108" s="84" t="s">
        <v>739</v>
      </c>
      <c r="B108" s="84" t="s">
        <v>737</v>
      </c>
      <c r="C108" s="84" t="s">
        <v>740</v>
      </c>
      <c r="D108" s="85">
        <v>12</v>
      </c>
    </row>
    <row r="109" spans="1:4" x14ac:dyDescent="0.35">
      <c r="A109" s="84" t="s">
        <v>741</v>
      </c>
      <c r="B109" s="84" t="s">
        <v>737</v>
      </c>
      <c r="C109" s="84" t="s">
        <v>742</v>
      </c>
      <c r="D109" s="85">
        <v>9</v>
      </c>
    </row>
    <row r="110" spans="1:4" x14ac:dyDescent="0.35">
      <c r="A110" s="84" t="s">
        <v>743</v>
      </c>
      <c r="B110" s="84" t="s">
        <v>744</v>
      </c>
      <c r="C110" s="84" t="s">
        <v>745</v>
      </c>
      <c r="D110" s="85">
        <v>12</v>
      </c>
    </row>
    <row r="111" spans="1:4" x14ac:dyDescent="0.35">
      <c r="A111" s="84" t="s">
        <v>746</v>
      </c>
      <c r="B111" s="84" t="s">
        <v>747</v>
      </c>
      <c r="C111" s="84" t="s">
        <v>748</v>
      </c>
      <c r="D111" s="85">
        <v>9</v>
      </c>
    </row>
    <row r="112" spans="1:4" x14ac:dyDescent="0.35">
      <c r="A112" s="84" t="s">
        <v>749</v>
      </c>
      <c r="B112" s="84" t="s">
        <v>750</v>
      </c>
      <c r="C112" s="84" t="s">
        <v>751</v>
      </c>
      <c r="D112" s="85">
        <v>9</v>
      </c>
    </row>
    <row r="113" spans="1:4" x14ac:dyDescent="0.35">
      <c r="A113" s="84" t="s">
        <v>752</v>
      </c>
      <c r="B113" s="84" t="s">
        <v>750</v>
      </c>
      <c r="C113" s="84" t="s">
        <v>753</v>
      </c>
      <c r="D113" s="85">
        <v>9</v>
      </c>
    </row>
    <row r="114" spans="1:4" x14ac:dyDescent="0.35">
      <c r="A114" s="84" t="s">
        <v>754</v>
      </c>
      <c r="B114" s="84" t="s">
        <v>750</v>
      </c>
      <c r="C114" s="84" t="s">
        <v>755</v>
      </c>
      <c r="D114" s="85">
        <v>12</v>
      </c>
    </row>
    <row r="115" spans="1:4" x14ac:dyDescent="0.35">
      <c r="A115" s="84" t="s">
        <v>756</v>
      </c>
      <c r="B115" s="84" t="s">
        <v>757</v>
      </c>
      <c r="C115" s="84" t="s">
        <v>758</v>
      </c>
      <c r="D115" s="85">
        <v>12</v>
      </c>
    </row>
    <row r="116" spans="1:4" x14ac:dyDescent="0.35">
      <c r="A116" s="84" t="s">
        <v>759</v>
      </c>
      <c r="B116" s="84" t="s">
        <v>757</v>
      </c>
      <c r="C116" s="84" t="s">
        <v>760</v>
      </c>
      <c r="D116" s="85">
        <v>9</v>
      </c>
    </row>
    <row r="117" spans="1:4" x14ac:dyDescent="0.35">
      <c r="A117" s="84" t="s">
        <v>761</v>
      </c>
      <c r="B117" s="84" t="s">
        <v>762</v>
      </c>
      <c r="C117" s="84" t="s">
        <v>763</v>
      </c>
      <c r="D117" s="85">
        <v>9</v>
      </c>
    </row>
    <row r="118" spans="1:4" x14ac:dyDescent="0.35">
      <c r="A118" s="84" t="s">
        <v>764</v>
      </c>
      <c r="B118" s="84" t="s">
        <v>762</v>
      </c>
      <c r="C118" s="84" t="s">
        <v>765</v>
      </c>
      <c r="D118" s="85">
        <v>9</v>
      </c>
    </row>
    <row r="119" spans="1:4" x14ac:dyDescent="0.35">
      <c r="A119" s="84" t="s">
        <v>766</v>
      </c>
      <c r="B119" s="84" t="s">
        <v>762</v>
      </c>
      <c r="C119" s="84" t="s">
        <v>767</v>
      </c>
      <c r="D119" s="85">
        <v>12</v>
      </c>
    </row>
    <row r="120" spans="1:4" x14ac:dyDescent="0.35">
      <c r="A120" s="84" t="s">
        <v>768</v>
      </c>
      <c r="B120" s="84" t="s">
        <v>762</v>
      </c>
      <c r="C120" s="84" t="s">
        <v>769</v>
      </c>
      <c r="D120" s="85">
        <v>12</v>
      </c>
    </row>
    <row r="121" spans="1:4" x14ac:dyDescent="0.35">
      <c r="A121" s="84" t="s">
        <v>770</v>
      </c>
      <c r="B121" s="84" t="s">
        <v>771</v>
      </c>
      <c r="C121" s="84" t="s">
        <v>772</v>
      </c>
      <c r="D121" s="85">
        <v>12</v>
      </c>
    </row>
    <row r="122" spans="1:4" x14ac:dyDescent="0.35">
      <c r="A122" s="84" t="s">
        <v>773</v>
      </c>
      <c r="B122" s="84" t="s">
        <v>771</v>
      </c>
      <c r="C122" s="84" t="s">
        <v>774</v>
      </c>
      <c r="D122" s="85">
        <v>12</v>
      </c>
    </row>
    <row r="123" spans="1:4" x14ac:dyDescent="0.35">
      <c r="A123" s="84" t="s">
        <v>775</v>
      </c>
      <c r="B123" s="84" t="s">
        <v>771</v>
      </c>
      <c r="C123" s="84" t="s">
        <v>776</v>
      </c>
      <c r="D123" s="85">
        <v>12</v>
      </c>
    </row>
    <row r="124" spans="1:4" x14ac:dyDescent="0.35">
      <c r="A124" s="84" t="s">
        <v>777</v>
      </c>
      <c r="B124" s="84" t="s">
        <v>771</v>
      </c>
      <c r="C124" s="84" t="s">
        <v>778</v>
      </c>
      <c r="D124" s="85">
        <v>12</v>
      </c>
    </row>
    <row r="125" spans="1:4" x14ac:dyDescent="0.35">
      <c r="A125" s="84" t="s">
        <v>779</v>
      </c>
      <c r="B125" s="84" t="s">
        <v>771</v>
      </c>
      <c r="C125" s="84" t="s">
        <v>780</v>
      </c>
      <c r="D125" s="85">
        <v>9</v>
      </c>
    </row>
    <row r="126" spans="1:4" x14ac:dyDescent="0.35">
      <c r="A126" s="84" t="s">
        <v>781</v>
      </c>
      <c r="B126" s="84" t="s">
        <v>771</v>
      </c>
      <c r="C126" s="84" t="s">
        <v>782</v>
      </c>
      <c r="D126" s="85">
        <v>9</v>
      </c>
    </row>
    <row r="127" spans="1:4" x14ac:dyDescent="0.35">
      <c r="A127" s="84" t="s">
        <v>783</v>
      </c>
      <c r="B127" s="84" t="s">
        <v>784</v>
      </c>
      <c r="C127" s="84" t="s">
        <v>785</v>
      </c>
      <c r="D127" s="85">
        <v>9</v>
      </c>
    </row>
    <row r="128" spans="1:4" x14ac:dyDescent="0.35">
      <c r="A128" s="84" t="s">
        <v>786</v>
      </c>
      <c r="B128" s="84" t="s">
        <v>784</v>
      </c>
      <c r="C128" s="84" t="s">
        <v>787</v>
      </c>
      <c r="D128" s="85">
        <v>9</v>
      </c>
    </row>
    <row r="129" spans="1:4" x14ac:dyDescent="0.35">
      <c r="A129" s="84" t="s">
        <v>788</v>
      </c>
      <c r="B129" s="84" t="s">
        <v>789</v>
      </c>
      <c r="C129" s="84" t="s">
        <v>790</v>
      </c>
      <c r="D129" s="85">
        <v>9</v>
      </c>
    </row>
    <row r="130" spans="1:4" x14ac:dyDescent="0.35">
      <c r="A130" s="84" t="s">
        <v>791</v>
      </c>
      <c r="B130" s="84" t="s">
        <v>789</v>
      </c>
      <c r="C130" s="84" t="s">
        <v>792</v>
      </c>
      <c r="D130" s="85">
        <v>9</v>
      </c>
    </row>
    <row r="131" spans="1:4" x14ac:dyDescent="0.35">
      <c r="A131" s="84" t="s">
        <v>793</v>
      </c>
      <c r="B131" s="84" t="s">
        <v>794</v>
      </c>
      <c r="C131" s="84" t="s">
        <v>795</v>
      </c>
      <c r="D131" s="85">
        <v>12</v>
      </c>
    </row>
    <row r="132" spans="1:4" x14ac:dyDescent="0.35">
      <c r="A132" s="84" t="s">
        <v>796</v>
      </c>
      <c r="B132" s="84" t="s">
        <v>794</v>
      </c>
      <c r="C132" s="84" t="s">
        <v>797</v>
      </c>
      <c r="D132" s="85">
        <v>12</v>
      </c>
    </row>
    <row r="133" spans="1:4" x14ac:dyDescent="0.35">
      <c r="A133" s="84" t="s">
        <v>798</v>
      </c>
      <c r="B133" s="84" t="s">
        <v>799</v>
      </c>
      <c r="C133" s="84" t="s">
        <v>800</v>
      </c>
      <c r="D133" s="85">
        <v>9</v>
      </c>
    </row>
    <row r="134" spans="1:4" x14ac:dyDescent="0.35">
      <c r="A134" s="84" t="s">
        <v>801</v>
      </c>
      <c r="B134" s="84" t="s">
        <v>802</v>
      </c>
      <c r="C134" s="84" t="s">
        <v>803</v>
      </c>
      <c r="D134" s="85">
        <v>12</v>
      </c>
    </row>
    <row r="135" spans="1:4" x14ac:dyDescent="0.35">
      <c r="A135" s="84" t="s">
        <v>804</v>
      </c>
      <c r="B135" s="84" t="s">
        <v>802</v>
      </c>
      <c r="C135" s="84" t="s">
        <v>805</v>
      </c>
      <c r="D135" s="85">
        <v>12</v>
      </c>
    </row>
    <row r="136" spans="1:4" x14ac:dyDescent="0.35">
      <c r="A136" s="84" t="s">
        <v>806</v>
      </c>
      <c r="B136" s="84" t="s">
        <v>802</v>
      </c>
      <c r="C136" s="84" t="s">
        <v>807</v>
      </c>
      <c r="D136" s="85">
        <v>12</v>
      </c>
    </row>
    <row r="137" spans="1:4" x14ac:dyDescent="0.35">
      <c r="A137" s="84" t="s">
        <v>808</v>
      </c>
      <c r="B137" s="84" t="s">
        <v>802</v>
      </c>
      <c r="C137" s="84" t="s">
        <v>809</v>
      </c>
      <c r="D137" s="85">
        <v>12</v>
      </c>
    </row>
    <row r="138" spans="1:4" x14ac:dyDescent="0.35">
      <c r="A138" s="84" t="s">
        <v>810</v>
      </c>
      <c r="B138" s="84" t="s">
        <v>811</v>
      </c>
      <c r="C138" s="84" t="s">
        <v>812</v>
      </c>
      <c r="D138" s="85">
        <v>12</v>
      </c>
    </row>
    <row r="139" spans="1:4" x14ac:dyDescent="0.35">
      <c r="A139" s="84" t="s">
        <v>813</v>
      </c>
      <c r="B139" s="84" t="s">
        <v>811</v>
      </c>
      <c r="C139" s="84" t="s">
        <v>814</v>
      </c>
      <c r="D139" s="85">
        <v>9</v>
      </c>
    </row>
    <row r="140" spans="1:4" x14ac:dyDescent="0.35">
      <c r="A140" s="84" t="s">
        <v>815</v>
      </c>
      <c r="B140" s="84" t="s">
        <v>816</v>
      </c>
      <c r="C140" s="84" t="s">
        <v>817</v>
      </c>
      <c r="D140" s="85">
        <v>9</v>
      </c>
    </row>
    <row r="141" spans="1:4" x14ac:dyDescent="0.35">
      <c r="A141" s="84" t="s">
        <v>818</v>
      </c>
      <c r="B141" s="84" t="s">
        <v>816</v>
      </c>
      <c r="C141" s="84" t="s">
        <v>819</v>
      </c>
      <c r="D141" s="85">
        <v>9</v>
      </c>
    </row>
    <row r="142" spans="1:4" x14ac:dyDescent="0.35">
      <c r="A142" s="84" t="s">
        <v>820</v>
      </c>
      <c r="B142" s="84" t="s">
        <v>821</v>
      </c>
      <c r="C142" s="84" t="s">
        <v>822</v>
      </c>
      <c r="D142" s="85">
        <v>9</v>
      </c>
    </row>
    <row r="143" spans="1:4" x14ac:dyDescent="0.35">
      <c r="A143" s="84" t="s">
        <v>823</v>
      </c>
      <c r="B143" s="84" t="s">
        <v>821</v>
      </c>
      <c r="C143" s="84" t="s">
        <v>824</v>
      </c>
      <c r="D143" s="85">
        <v>9</v>
      </c>
    </row>
    <row r="144" spans="1:4" x14ac:dyDescent="0.35">
      <c r="A144" s="84" t="s">
        <v>825</v>
      </c>
      <c r="B144" s="84" t="s">
        <v>821</v>
      </c>
      <c r="C144" s="84" t="s">
        <v>826</v>
      </c>
      <c r="D144" s="85">
        <v>12</v>
      </c>
    </row>
    <row r="145" spans="1:4" x14ac:dyDescent="0.35">
      <c r="A145" s="84" t="s">
        <v>827</v>
      </c>
      <c r="B145" s="84" t="s">
        <v>828</v>
      </c>
      <c r="C145" s="84" t="s">
        <v>829</v>
      </c>
      <c r="D145" s="85">
        <v>9</v>
      </c>
    </row>
    <row r="146" spans="1:4" x14ac:dyDescent="0.35">
      <c r="A146" s="84" t="s">
        <v>830</v>
      </c>
      <c r="B146" s="84" t="s">
        <v>828</v>
      </c>
      <c r="C146" s="84" t="s">
        <v>831</v>
      </c>
      <c r="D146" s="85">
        <v>9</v>
      </c>
    </row>
    <row r="147" spans="1:4" x14ac:dyDescent="0.35">
      <c r="A147" s="84" t="s">
        <v>832</v>
      </c>
      <c r="B147" s="84" t="s">
        <v>828</v>
      </c>
      <c r="C147" s="84" t="s">
        <v>833</v>
      </c>
      <c r="D147" s="85">
        <v>12</v>
      </c>
    </row>
    <row r="148" spans="1:4" x14ac:dyDescent="0.35">
      <c r="A148" s="84" t="s">
        <v>834</v>
      </c>
      <c r="B148" s="84" t="s">
        <v>835</v>
      </c>
      <c r="C148" s="84" t="s">
        <v>836</v>
      </c>
      <c r="D148" s="85">
        <v>12</v>
      </c>
    </row>
    <row r="149" spans="1:4" x14ac:dyDescent="0.35">
      <c r="A149" s="84" t="s">
        <v>837</v>
      </c>
      <c r="B149" s="84" t="s">
        <v>835</v>
      </c>
      <c r="C149" s="84" t="s">
        <v>838</v>
      </c>
      <c r="D149" s="85">
        <v>12</v>
      </c>
    </row>
    <row r="150" spans="1:4" x14ac:dyDescent="0.35">
      <c r="A150" s="84" t="s">
        <v>839</v>
      </c>
      <c r="B150" s="84" t="s">
        <v>835</v>
      </c>
      <c r="C150" s="84" t="s">
        <v>840</v>
      </c>
      <c r="D150" s="85">
        <v>12</v>
      </c>
    </row>
    <row r="151" spans="1:4" x14ac:dyDescent="0.35">
      <c r="A151" s="84" t="s">
        <v>841</v>
      </c>
      <c r="B151" s="84" t="s">
        <v>842</v>
      </c>
      <c r="C151" s="84" t="s">
        <v>843</v>
      </c>
      <c r="D151" s="85">
        <v>9</v>
      </c>
    </row>
    <row r="152" spans="1:4" x14ac:dyDescent="0.35">
      <c r="A152" s="84" t="s">
        <v>844</v>
      </c>
      <c r="B152" s="84" t="s">
        <v>845</v>
      </c>
      <c r="C152" s="84" t="s">
        <v>846</v>
      </c>
      <c r="D152" s="85">
        <v>9</v>
      </c>
    </row>
    <row r="153" spans="1:4" x14ac:dyDescent="0.35">
      <c r="A153" s="84" t="s">
        <v>847</v>
      </c>
      <c r="B153" s="84" t="s">
        <v>845</v>
      </c>
      <c r="C153" s="84" t="s">
        <v>848</v>
      </c>
      <c r="D153" s="85">
        <v>12</v>
      </c>
    </row>
    <row r="154" spans="1:4" x14ac:dyDescent="0.35">
      <c r="A154" s="84" t="s">
        <v>849</v>
      </c>
      <c r="B154" s="84" t="s">
        <v>850</v>
      </c>
      <c r="C154" s="84" t="s">
        <v>851</v>
      </c>
      <c r="D154" s="85">
        <v>9</v>
      </c>
    </row>
    <row r="155" spans="1:4" x14ac:dyDescent="0.35">
      <c r="A155" s="84" t="s">
        <v>852</v>
      </c>
      <c r="B155" s="84" t="s">
        <v>850</v>
      </c>
      <c r="C155" s="84" t="s">
        <v>853</v>
      </c>
      <c r="D155" s="85">
        <v>12</v>
      </c>
    </row>
    <row r="156" spans="1:4" x14ac:dyDescent="0.35">
      <c r="A156" s="84" t="s">
        <v>854</v>
      </c>
      <c r="B156" s="84" t="s">
        <v>855</v>
      </c>
      <c r="C156" s="84" t="s">
        <v>856</v>
      </c>
      <c r="D156" s="85">
        <v>9</v>
      </c>
    </row>
    <row r="157" spans="1:4" x14ac:dyDescent="0.35">
      <c r="A157" s="84" t="s">
        <v>857</v>
      </c>
      <c r="B157" s="84" t="s">
        <v>858</v>
      </c>
      <c r="C157" s="84" t="s">
        <v>859</v>
      </c>
      <c r="D157" s="85">
        <v>9</v>
      </c>
    </row>
    <row r="158" spans="1:4" x14ac:dyDescent="0.35">
      <c r="A158" s="84" t="s">
        <v>860</v>
      </c>
      <c r="B158" s="84" t="s">
        <v>858</v>
      </c>
      <c r="C158" s="84" t="s">
        <v>861</v>
      </c>
      <c r="D158" s="85">
        <v>9</v>
      </c>
    </row>
    <row r="159" spans="1:4" x14ac:dyDescent="0.35">
      <c r="A159" s="84" t="s">
        <v>862</v>
      </c>
      <c r="B159" s="84" t="s">
        <v>863</v>
      </c>
      <c r="C159" s="84" t="s">
        <v>864</v>
      </c>
      <c r="D159" s="85">
        <v>12</v>
      </c>
    </row>
    <row r="160" spans="1:4" x14ac:dyDescent="0.35">
      <c r="A160" s="84" t="s">
        <v>865</v>
      </c>
      <c r="B160" s="84" t="s">
        <v>863</v>
      </c>
      <c r="C160" s="84" t="s">
        <v>866</v>
      </c>
      <c r="D160" s="85">
        <v>12</v>
      </c>
    </row>
    <row r="161" spans="1:4" x14ac:dyDescent="0.35">
      <c r="A161" s="84" t="s">
        <v>867</v>
      </c>
      <c r="B161" s="84" t="s">
        <v>863</v>
      </c>
      <c r="C161" s="84" t="s">
        <v>868</v>
      </c>
      <c r="D161" s="85">
        <v>9</v>
      </c>
    </row>
    <row r="162" spans="1:4" x14ac:dyDescent="0.35">
      <c r="A162" s="84" t="s">
        <v>869</v>
      </c>
      <c r="B162" s="84" t="s">
        <v>863</v>
      </c>
      <c r="C162" s="84" t="s">
        <v>870</v>
      </c>
      <c r="D162" s="85">
        <v>12</v>
      </c>
    </row>
    <row r="163" spans="1:4" x14ac:dyDescent="0.35">
      <c r="A163" s="84" t="s">
        <v>871</v>
      </c>
      <c r="B163" s="84" t="s">
        <v>863</v>
      </c>
      <c r="C163" s="84" t="s">
        <v>872</v>
      </c>
      <c r="D163" s="85">
        <v>9</v>
      </c>
    </row>
    <row r="164" spans="1:4" x14ac:dyDescent="0.35">
      <c r="A164" s="84" t="s">
        <v>873</v>
      </c>
      <c r="B164" s="84" t="s">
        <v>874</v>
      </c>
      <c r="C164" s="84" t="s">
        <v>875</v>
      </c>
      <c r="D164" s="85">
        <v>9</v>
      </c>
    </row>
    <row r="165" spans="1:4" x14ac:dyDescent="0.35">
      <c r="A165" s="84" t="s">
        <v>876</v>
      </c>
      <c r="B165" s="84" t="s">
        <v>874</v>
      </c>
      <c r="C165" s="84" t="s">
        <v>877</v>
      </c>
      <c r="D165" s="85">
        <v>12</v>
      </c>
    </row>
    <row r="166" spans="1:4" x14ac:dyDescent="0.35">
      <c r="A166" s="84" t="s">
        <v>878</v>
      </c>
      <c r="B166" s="84" t="s">
        <v>874</v>
      </c>
      <c r="C166" s="84" t="s">
        <v>879</v>
      </c>
      <c r="D166" s="85">
        <v>9</v>
      </c>
    </row>
    <row r="167" spans="1:4" x14ac:dyDescent="0.35">
      <c r="A167" s="84" t="s">
        <v>880</v>
      </c>
      <c r="B167" s="84" t="s">
        <v>874</v>
      </c>
      <c r="C167" s="84" t="s">
        <v>881</v>
      </c>
      <c r="D167" s="85">
        <v>9</v>
      </c>
    </row>
    <row r="168" spans="1:4" x14ac:dyDescent="0.35">
      <c r="A168" s="84" t="s">
        <v>882</v>
      </c>
      <c r="B168" s="84" t="s">
        <v>874</v>
      </c>
      <c r="C168" s="84" t="s">
        <v>883</v>
      </c>
      <c r="D168" s="85">
        <v>9</v>
      </c>
    </row>
    <row r="169" spans="1:4" x14ac:dyDescent="0.35">
      <c r="A169" s="84" t="s">
        <v>884</v>
      </c>
      <c r="B169" s="84" t="s">
        <v>874</v>
      </c>
      <c r="C169" s="84" t="s">
        <v>885</v>
      </c>
      <c r="D169" s="85">
        <v>9</v>
      </c>
    </row>
    <row r="170" spans="1:4" x14ac:dyDescent="0.35">
      <c r="A170" s="84" t="s">
        <v>886</v>
      </c>
      <c r="B170" s="84" t="s">
        <v>874</v>
      </c>
      <c r="C170" s="84" t="s">
        <v>887</v>
      </c>
      <c r="D170" s="85">
        <v>9</v>
      </c>
    </row>
    <row r="171" spans="1:4" x14ac:dyDescent="0.35">
      <c r="A171" s="84" t="s">
        <v>888</v>
      </c>
      <c r="B171" s="84" t="s">
        <v>874</v>
      </c>
      <c r="C171" s="84" t="s">
        <v>889</v>
      </c>
      <c r="D171" s="85">
        <v>9</v>
      </c>
    </row>
    <row r="172" spans="1:4" x14ac:dyDescent="0.35">
      <c r="A172" s="84" t="s">
        <v>890</v>
      </c>
      <c r="B172" s="84" t="s">
        <v>874</v>
      </c>
      <c r="C172" s="84" t="s">
        <v>891</v>
      </c>
      <c r="D172" s="85">
        <v>9</v>
      </c>
    </row>
    <row r="173" spans="1:4" x14ac:dyDescent="0.35">
      <c r="A173" s="84" t="s">
        <v>892</v>
      </c>
      <c r="B173" s="84" t="s">
        <v>874</v>
      </c>
      <c r="C173" s="84" t="s">
        <v>893</v>
      </c>
      <c r="D173" s="85">
        <v>9</v>
      </c>
    </row>
    <row r="174" spans="1:4" x14ac:dyDescent="0.35">
      <c r="A174" s="84" t="s">
        <v>894</v>
      </c>
      <c r="B174" s="84" t="s">
        <v>874</v>
      </c>
      <c r="C174" s="84" t="s">
        <v>895</v>
      </c>
      <c r="D174" s="85">
        <v>9</v>
      </c>
    </row>
    <row r="175" spans="1:4" x14ac:dyDescent="0.35">
      <c r="A175" s="84" t="s">
        <v>896</v>
      </c>
      <c r="B175" s="84" t="s">
        <v>874</v>
      </c>
      <c r="C175" s="84" t="s">
        <v>897</v>
      </c>
      <c r="D175" s="85">
        <v>9</v>
      </c>
    </row>
    <row r="176" spans="1:4" x14ac:dyDescent="0.35">
      <c r="A176" s="84" t="s">
        <v>898</v>
      </c>
      <c r="B176" s="84" t="s">
        <v>899</v>
      </c>
      <c r="C176" s="84" t="s">
        <v>900</v>
      </c>
      <c r="D176" s="85">
        <v>12</v>
      </c>
    </row>
    <row r="177" spans="1:4" x14ac:dyDescent="0.35">
      <c r="A177" s="84" t="s">
        <v>901</v>
      </c>
      <c r="B177" s="84" t="s">
        <v>899</v>
      </c>
      <c r="C177" s="84" t="s">
        <v>902</v>
      </c>
      <c r="D177" s="85">
        <v>12</v>
      </c>
    </row>
    <row r="178" spans="1:4" x14ac:dyDescent="0.35">
      <c r="A178" s="84" t="s">
        <v>903</v>
      </c>
      <c r="B178" s="84" t="s">
        <v>899</v>
      </c>
      <c r="C178" s="84" t="s">
        <v>904</v>
      </c>
      <c r="D178" s="85">
        <v>9</v>
      </c>
    </row>
    <row r="179" spans="1:4" x14ac:dyDescent="0.35">
      <c r="A179" s="84" t="s">
        <v>905</v>
      </c>
      <c r="B179" s="84" t="s">
        <v>899</v>
      </c>
      <c r="C179" s="84" t="s">
        <v>906</v>
      </c>
      <c r="D179" s="85">
        <v>9</v>
      </c>
    </row>
    <row r="180" spans="1:4" x14ac:dyDescent="0.35">
      <c r="A180" s="86" t="s">
        <v>907</v>
      </c>
      <c r="C180" s="84" t="s">
        <v>908</v>
      </c>
      <c r="D180" s="85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CDE Intercept  </vt:lpstr>
      <vt:lpstr>payment summary to Trustee</vt:lpstr>
      <vt:lpstr>School Districts</vt:lpstr>
      <vt:lpstr>'CDE Intercept  '!Print_Area</vt:lpstr>
      <vt:lpstr>'payment summary to Trustee'!Print_Area</vt:lpstr>
      <vt:lpstr>'CDE Intercept  '!Print_Titles</vt:lpstr>
      <vt:lpstr>'payment summary to Trustee'!Print_Titles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Kahle, Tim</cp:lastModifiedBy>
  <cp:lastPrinted>2025-03-24T22:11:25Z</cp:lastPrinted>
  <dcterms:created xsi:type="dcterms:W3CDTF">2024-07-09T13:46:55Z</dcterms:created>
  <dcterms:modified xsi:type="dcterms:W3CDTF">2025-04-09T14:43:26Z</dcterms:modified>
</cp:coreProperties>
</file>