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payment summary" sheetId="1" r:id="rId1"/>
  </sheets>
  <externalReferences>
    <externalReference r:id="rId4"/>
  </externalReferences>
  <definedNames>
    <definedName name="_Fill" hidden="1">#REF!</definedName>
    <definedName name="_xlnm.Print_Area" localSheetId="0">'payment summary'!#REF!</definedName>
  </definedNames>
  <calcPr fullCalcOnLoad="1"/>
</workbook>
</file>

<file path=xl/sharedStrings.xml><?xml version="1.0" encoding="utf-8"?>
<sst xmlns="http://schemas.openxmlformats.org/spreadsheetml/2006/main" count="691" uniqueCount="316">
  <si>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</si>
  <si>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</si>
  <si>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</si>
  <si>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</si>
  <si>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</si>
  <si>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</si>
  <si>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</si>
  <si>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</si>
  <si>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</si>
  <si>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</si>
  <si>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</si>
  <si>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</si>
  <si>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</si>
  <si>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</si>
  <si>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</si>
  <si>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</si>
  <si>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</si>
  <si>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</si>
  <si>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</si>
  <si>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</si>
  <si>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</si>
  <si>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</si>
  <si>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</si>
  <si>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</si>
  <si>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</si>
  <si>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</si>
  <si>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</si>
  <si>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</si>
  <si>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</si>
  <si>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</si>
  <si>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</si>
  <si>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</si>
  <si>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</si>
  <si>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</si>
  <si>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</si>
  <si>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</si>
  <si>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</si>
  <si>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</si>
  <si>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</si>
  <si>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</si>
  <si>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</si>
  <si>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</si>
  <si>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</si>
  <si>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</si>
  <si>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</si>
  <si>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</si>
  <si>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</si>
  <si>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</si>
  <si>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</si>
  <si>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</si>
  <si>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</si>
  <si>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</si>
  <si>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</si>
  <si>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</si>
  <si>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</si>
  <si>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</si>
  <si>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Colorado State Charter School Institute School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</si>
  <si>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</si>
  <si>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</si>
  <si>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</si>
  <si>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</si>
  <si>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</si>
  <si>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</si>
  <si>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</si>
  <si>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</si>
  <si>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</si>
  <si>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</si>
  <si>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</si>
  <si>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</si>
  <si>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</si>
  <si>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</si>
  <si>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</si>
  <si>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</si>
  <si>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</si>
  <si>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</si>
  <si>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</si>
  <si>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</si>
  <si>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</si>
  <si>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</si>
  <si>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</si>
  <si>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</si>
  <si>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</si>
  <si>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</si>
  <si>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</si>
  <si>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</si>
  <si>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</si>
  <si>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</si>
  <si>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</si>
  <si>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</si>
  <si>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</si>
  <si>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</si>
  <si>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</si>
  <si>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</si>
  <si>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</si>
  <si>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</si>
  <si>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</si>
  <si>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</si>
  <si>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</si>
  <si>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</si>
  <si>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</si>
  <si>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</si>
  <si>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</si>
  <si>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</si>
  <si>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</si>
  <si>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</si>
  <si>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</si>
  <si>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</si>
  <si>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</si>
  <si>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</si>
  <si>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</si>
  <si>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</si>
  <si>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</si>
  <si>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</si>
  <si>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</si>
  <si>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</si>
  <si>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</si>
  <si>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</si>
  <si>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</si>
  <si>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</si>
  <si>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</si>
  <si>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</si>
  <si>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</si>
  <si>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</si>
  <si>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</si>
  <si>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</si>
  <si>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</si>
  <si>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</si>
  <si>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</si>
  <si>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</si>
  <si>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</si>
  <si>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</si>
  <si>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</si>
  <si>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</si>
  <si>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</si>
  <si>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</si>
  <si>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</si>
  <si>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</si>
  <si>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</si>
  <si>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</si>
  <si>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</si>
  <si>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</si>
  <si>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</si>
  <si>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</si>
  <si>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</si>
  <si>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</si>
  <si>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</si>
  <si>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</si>
  <si>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</si>
  <si>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</si>
  <si>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</si>
  <si>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</si>
  <si>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</si>
  <si>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</si>
  <si>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</si>
  <si>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</si>
  <si>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</si>
  <si>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</si>
  <si>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Legacy Academy (formerly Elbert County Charter School) (#2572092005A)</t>
  </si>
  <si>
    <t>Pikes Peak Prep (formerly 21st Century Charter School) (#8929999908A)</t>
  </si>
  <si>
    <t>Total for STEM School</t>
  </si>
  <si>
    <t>Skyview Academy (#6365090013A)</t>
  </si>
  <si>
    <t>Total for Skyview Academy</t>
  </si>
  <si>
    <t>Westgate Community School (#9431002013A)</t>
  </si>
  <si>
    <t>Total for Westgate Community School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</si>
  <si>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</si>
  <si>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</si>
  <si>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</si>
  <si>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</si>
  <si>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University Laboratory School (#2850312013A)</t>
  </si>
  <si>
    <t>Total for University Laboratory School</t>
  </si>
  <si>
    <t>American Academy (#0215090013A)</t>
  </si>
  <si>
    <t>Littleton Preparatory Charter School (#5233014013A)</t>
  </si>
  <si>
    <t>Total for Littleton Preparatory Charter School</t>
  </si>
  <si>
    <t>Pinnacle Charter School (#0654800113A)</t>
  </si>
  <si>
    <t>Lincoln Academy (#5145142013A)</t>
  </si>
  <si>
    <t>Total for Lincoln Academy</t>
  </si>
  <si>
    <t>Aurora Academy (#0458018013A)</t>
  </si>
  <si>
    <t>Total for Aurora Academy</t>
  </si>
  <si>
    <t>Cesar Chavez Academy Denver (#1345088014A)</t>
  </si>
  <si>
    <t>Community Leadership Academy (#1882800114A)</t>
  </si>
  <si>
    <r>
      <t xml:space="preserve">STEM School (#5259090013A) </t>
    </r>
    <r>
      <rPr>
        <b/>
        <i/>
        <sz val="12"/>
        <rFont val="Arial"/>
        <family val="2"/>
      </rPr>
      <t>THIS PAYMENT COMBINED W/ SERIES 2013 BELOW</t>
    </r>
  </si>
  <si>
    <t>STEM School (#5259090014A)  [Combined 2012A&amp;B and 2013A&amp;B]</t>
  </si>
  <si>
    <t>Prospect Ridge Academy (#6802002014A)</t>
  </si>
  <si>
    <t>Total for Prospect Ridge Academy</t>
  </si>
  <si>
    <t>Rocky Mountain Classical Academy (#7463111014A)</t>
  </si>
  <si>
    <t>Total for Rocky Mountain Classical Academy</t>
  </si>
  <si>
    <t>Monarch Montessori (#5621088014A)</t>
  </si>
  <si>
    <t>Total for Monarch Montessori</t>
  </si>
  <si>
    <t>Liberty Common School (#5120155014A)</t>
  </si>
  <si>
    <t>Total for Liberty Common School</t>
  </si>
  <si>
    <t>Ridgeview Classical Schools (#0146155015A)</t>
  </si>
  <si>
    <t>Total for Ridgeview Classical Schools</t>
  </si>
  <si>
    <t>Swallows Charter Academy (#8420270015A)</t>
  </si>
  <si>
    <t>Total for Swallows Charter Academy</t>
  </si>
  <si>
    <t>Skyview Academy (#6365090015A)</t>
  </si>
  <si>
    <t>Peak to Peak (#6816048015A)</t>
  </si>
  <si>
    <t>Debt Reserve  (8040 WAAA)</t>
  </si>
  <si>
    <t>Treasury Fee  (17F0 WAAA)</t>
  </si>
  <si>
    <t>Intercept  (9410 WAAA)</t>
  </si>
  <si>
    <r>
      <t>Total for all payments</t>
    </r>
    <r>
      <rPr>
        <sz val="10"/>
        <rFont val="Arial"/>
        <family val="2"/>
      </rPr>
      <t xml:space="preserve">  (1130 DAAA)</t>
    </r>
  </si>
  <si>
    <t>Twin Peaks Charter Academy (#8927047015A)</t>
  </si>
  <si>
    <t>Independence Academy (#2128200015A)</t>
  </si>
  <si>
    <t>Total for Independence Academy</t>
  </si>
  <si>
    <t>Jefferson Academy (#4402142015A)</t>
  </si>
  <si>
    <t>STEM School (#5259090015A)</t>
  </si>
  <si>
    <t>Global Village Academy (#3471018015A)</t>
  </si>
  <si>
    <t>Monument Academy (#35093108015A)</t>
  </si>
  <si>
    <t>Classical Academy (#1627104015A)</t>
  </si>
  <si>
    <t>Total for Classical Academy</t>
  </si>
  <si>
    <t>Classical Academy (#1627104015B)</t>
  </si>
  <si>
    <t>University Laboratory School (#2850312015A)</t>
  </si>
  <si>
    <t>Total for University Labortory School</t>
  </si>
  <si>
    <t>Atlas Prepatory School (#0469098015A)</t>
  </si>
  <si>
    <t>Total for Atlas Prepatory School</t>
  </si>
  <si>
    <t>Stargate Charter School (#1519002015A)</t>
  </si>
  <si>
    <t>Aspen Ridge School (#0071047015A)</t>
  </si>
  <si>
    <t>Total for Aspen Ridge School</t>
  </si>
  <si>
    <t>Union Colony Charter School (#8965312015A)</t>
  </si>
  <si>
    <t>Salida Del Sol Academy (#8467312015A)</t>
  </si>
  <si>
    <t>Total for Salida Del Sol Academy</t>
  </si>
  <si>
    <t>Bromley East Charter School (#1052004016A)</t>
  </si>
  <si>
    <t>James Irwin Charter High School (#4378098016A)</t>
  </si>
  <si>
    <t>James Irwin Charter Middle School (#4378098016A)</t>
  </si>
  <si>
    <t>James Irwin Charter Elementary School (#4378098016A)</t>
  </si>
  <si>
    <t>James Irwin Charter Academy (#4403800116A)</t>
  </si>
  <si>
    <t>Total for James Irwin Charter Academy</t>
  </si>
  <si>
    <t>American Academy (#0215090016A)</t>
  </si>
  <si>
    <t>Pikes Peak School of Expeditionary Learning (#6935111016A)</t>
  </si>
  <si>
    <t>Colorado Early College - Fort Collins (#2067800116A)</t>
  </si>
  <si>
    <t>Total for Colorado Early College - Fort Collins</t>
  </si>
  <si>
    <t>Monarch Montessori (#5621088016A)</t>
  </si>
  <si>
    <t>Two Roads Charter School (#8793142016A)</t>
  </si>
  <si>
    <t>Total for Two Roads Charter School</t>
  </si>
  <si>
    <t>Prospect Ridge Academy (#6802002016A)</t>
  </si>
  <si>
    <t>Ben Franklin Academy (#0135090016A)</t>
  </si>
  <si>
    <t>Total for Ben Franklin Academy</t>
  </si>
  <si>
    <t>Westgate Community School (#9431002016A)</t>
  </si>
  <si>
    <t>Vanguard School (#1582102016A)</t>
  </si>
  <si>
    <t>Total for Vanguard School</t>
  </si>
  <si>
    <t>STEM School (#5259090016A)</t>
  </si>
  <si>
    <t>Academy Charter School (#0011090016A)</t>
  </si>
  <si>
    <t>Colorado Early Colleges-Fort Collins (#2067800116B)</t>
  </si>
  <si>
    <t>Total for Colorado Early Colleges-Fort Collins</t>
  </si>
  <si>
    <t>Flagstaff Academy (#2964047016A)</t>
  </si>
  <si>
    <t>Total for Flagstaff Academy</t>
  </si>
  <si>
    <t>Legacy Academy (#2572092016A)</t>
  </si>
  <si>
    <t>Total for Legacy Academy</t>
  </si>
  <si>
    <t>Parker Core Knowledge (#1873090017A)</t>
  </si>
  <si>
    <t>Global Village Academy (#3471018017A)</t>
  </si>
  <si>
    <t>Frontier Academy (#1875312017A)</t>
  </si>
  <si>
    <t>A</t>
  </si>
  <si>
    <t>B</t>
  </si>
  <si>
    <t>C</t>
  </si>
  <si>
    <t>Excel Academy (#2799142017A)</t>
  </si>
  <si>
    <t>Loveland Classical Schools (#5235156017A)</t>
  </si>
  <si>
    <t>Total for Loveland Classical Schools</t>
  </si>
  <si>
    <t>American Academy (#0215090017A)</t>
  </si>
  <si>
    <t>Total for Power Technical Early College</t>
  </si>
  <si>
    <t>Power Technical Early College (6653111017A)</t>
  </si>
  <si>
    <t>Windsor Charter Academy (9665310017A)</t>
  </si>
  <si>
    <t>Banning Lewis Ranch Academy (0555111017A)</t>
  </si>
  <si>
    <t>Addenbrooke Classical Academy (1451142017A)</t>
  </si>
  <si>
    <t>Total for Addenbrooke Classical Academy</t>
  </si>
  <si>
    <t>Two Rivers Community School (8821800117A)</t>
  </si>
  <si>
    <t>Total for Two Rivers Community School</t>
  </si>
  <si>
    <t>Eagle Ridge Academy (2399004017A)</t>
  </si>
  <si>
    <t>Total for Eagle Ridge Academy</t>
  </si>
  <si>
    <t>West Ridge Academy (9611312017A)</t>
  </si>
  <si>
    <t>Total for West Ridge Academy</t>
  </si>
  <si>
    <t>Platte River Academy (7047090017A)</t>
  </si>
  <si>
    <t>Total for Platte River Academy</t>
  </si>
  <si>
    <t>World Compass Academy (9397090017A)</t>
  </si>
  <si>
    <t>Total for World Compass Academy</t>
  </si>
  <si>
    <t>Prospect Ridge Academy (6802002017A)</t>
  </si>
  <si>
    <t>North Star Academy (#1579090015A) [payment combined with Series 2017]</t>
  </si>
  <si>
    <t>North Star Academy (1579090017A)</t>
  </si>
  <si>
    <t>Renaissance Secondary School (7244090017A)</t>
  </si>
  <si>
    <t>Total for Renaissance Secondary School</t>
  </si>
  <si>
    <t>Windsor Charter Academy (9665310017B)</t>
  </si>
  <si>
    <t>Thomas MacLaren (8825800117A)</t>
  </si>
  <si>
    <t>Total for Thomas MacLaren</t>
  </si>
  <si>
    <t>Challenge to  Excellence (1512090017A)</t>
  </si>
  <si>
    <t>Early College of Arvada (2837800117A)</t>
  </si>
  <si>
    <t>Total for Early College of Arvada</t>
  </si>
  <si>
    <t>World Compass Academy (9397090018A)</t>
  </si>
  <si>
    <t>Carbon Valley Academy (1284047018A)</t>
  </si>
  <si>
    <t>Union Colony School (8965312018A)</t>
  </si>
  <si>
    <t>Total for Union Colony School</t>
  </si>
  <si>
    <t>Lotus School for Excellence (5298018018A)</t>
  </si>
  <si>
    <t>Total for Lotus School for Excellence</t>
  </si>
  <si>
    <t>New Vision Charter School (6220156018A)</t>
  </si>
  <si>
    <t>Global Village Academy (3471018018A)</t>
  </si>
  <si>
    <t>Total FY 19</t>
  </si>
  <si>
    <t>Imagine Indigo Ranch (4251111019A)</t>
  </si>
  <si>
    <t>Total for Imagine Indigo Ranch</t>
  </si>
  <si>
    <t>Stargate Charter School (1519002019A)</t>
  </si>
  <si>
    <t>Liberty Tree Academy (5191111019A)</t>
  </si>
  <si>
    <t>Total for Liberty Tree Academy</t>
  </si>
  <si>
    <t>Highline Academy Charter School (3987088019A)</t>
  </si>
  <si>
    <t>New America School (4699002019A)</t>
  </si>
  <si>
    <t>Total for New America School</t>
  </si>
  <si>
    <t>Caprock Academy (1279800119A)</t>
  </si>
  <si>
    <t>Global Village Academy - Northglenn (3439800119A)</t>
  </si>
  <si>
    <t>Total for Global Village Academy - Northglenn</t>
  </si>
  <si>
    <t>Rocky Mountain Classical Academy (7463111019A)</t>
  </si>
  <si>
    <t>Legacy Academy (2572092019A)</t>
  </si>
  <si>
    <t>Total for Colorado Early Colleges - Parker</t>
  </si>
  <si>
    <t>Total for Colorado Early Colleges - Aurora</t>
  </si>
  <si>
    <t>Total for Colorado Early Colleges - Fort Collins</t>
  </si>
  <si>
    <t>Total for Colorado Springs Early Colleges</t>
  </si>
  <si>
    <t>Colorado Early Colleges - Parker (2196800119A)</t>
  </si>
  <si>
    <t>Colorado Early Colleges - Aurora (1633800119A)</t>
  </si>
  <si>
    <t>Colorado Early Colleges - Fort Collins West (2067800119A)</t>
  </si>
  <si>
    <t>Colorado Early Colleges - Fort Collins Bidg Corp (2067800119B)</t>
  </si>
  <si>
    <t>Colorado Springs Early Colleges - Windsor (1795800119A)</t>
  </si>
  <si>
    <t>Colorado Springs Early Colleges - CSEC (1795800119B)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</si>
</sst>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dd\-mmm\-yy_)"/>
    <numFmt numFmtId="167" formatCode="hh:mm\ AM/PM_)"/>
    <numFmt numFmtId="168" formatCode="mm/dd/yy_)"/>
    <numFmt numFmtId="169" formatCode="0.000%"/>
    <numFmt numFmtId="170" formatCode="0.00_)"/>
    <numFmt numFmtId="171" formatCode="0.000_)"/>
    <numFmt numFmtId="172" formatCode="0.0000_)"/>
    <numFmt numFmtId="173" formatCode="0.0000%"/>
    <numFmt numFmtId="174" formatCode="General_)"/>
    <numFmt numFmtId="175" formatCode="0.00000%"/>
    <numFmt numFmtId="176" formatCode="0.000000%"/>
    <numFmt numFmtId="177" formatCode="0.0000000%"/>
    <numFmt numFmtId="178" formatCode="&quot;$&quot;#,##0.0_);\(&quot;$&quot;#,##0.0\)"/>
    <numFmt numFmtId="179" formatCode="mm/dd/yy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#,##0.000000000_);\(#,##0.000000000\)"/>
    <numFmt numFmtId="188" formatCode="#,##0.0000000000_);\(#,##0.0000000000\)"/>
    <numFmt numFmtId="189" formatCode="&quot;$&quot;#,##0.000_);\(&quot;$&quot;#,##0.000\)"/>
    <numFmt numFmtId="190" formatCode="&quot;$&quot;#,##0.0000_);\(&quot;$&quot;#,##0.0000\)"/>
    <numFmt numFmtId="191" formatCode="&quot;$&quot;#,##0.00000_);\(&quot;$&quot;#,##0.00000\)"/>
    <numFmt numFmtId="192" formatCode="0_);\(0\)"/>
    <numFmt numFmtId="193" formatCode="&quot;DSRF Fee @&quot;#,##0.0&quot; b pts&quot;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_(* #,##0.0_);_(* \(#,##0.0\);_(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&lt;=9999999]###\-####;\(###\)\ ###\-####"/>
    <numFmt numFmtId="205" formatCode="m/d/yy;@"/>
    <numFmt numFmtId="206" formatCode="mm/dd/yy;@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2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43" fontId="3" fillId="33" borderId="0" xfId="0" applyNumberFormat="1" applyFont="1" applyFill="1" applyBorder="1" applyAlignment="1">
      <alignment/>
    </xf>
    <xf numFmtId="0" fontId="6" fillId="34" borderId="0" xfId="0" applyFont="1" applyFill="1" applyAlignment="1">
      <alignment horizontal="right"/>
    </xf>
    <xf numFmtId="43" fontId="3" fillId="34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 quotePrefix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 quotePrefix="1">
      <alignment horizontal="left"/>
    </xf>
    <xf numFmtId="43" fontId="1" fillId="0" borderId="1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43" fontId="3" fillId="33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43" fontId="1" fillId="0" borderId="0" xfId="0" applyNumberFormat="1" applyFont="1" applyFill="1" applyBorder="1" applyAlignment="1">
      <alignment/>
    </xf>
    <xf numFmtId="43" fontId="1" fillId="33" borderId="0" xfId="0" applyNumberFormat="1" applyFont="1" applyFill="1" applyBorder="1" applyAlignment="1" quotePrefix="1">
      <alignment horizontal="left"/>
    </xf>
    <xf numFmtId="43" fontId="1" fillId="34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 quotePrefix="1">
      <alignment horizontal="right" wrapText="1"/>
    </xf>
    <xf numFmtId="43" fontId="3" fillId="35" borderId="0" xfId="0" applyNumberFormat="1" applyFont="1" applyFill="1" applyBorder="1" applyAlignment="1">
      <alignment/>
    </xf>
    <xf numFmtId="0" fontId="6" fillId="36" borderId="0" xfId="0" applyFont="1" applyFill="1" applyAlignment="1">
      <alignment horizontal="right"/>
    </xf>
    <xf numFmtId="43" fontId="3" fillId="36" borderId="0" xfId="0" applyNumberFormat="1" applyFont="1" applyFill="1" applyBorder="1" applyAlignment="1">
      <alignment/>
    </xf>
    <xf numFmtId="0" fontId="6" fillId="36" borderId="0" xfId="0" applyFont="1" applyFill="1" applyAlignment="1">
      <alignment horizontal="right" vertical="center"/>
    </xf>
    <xf numFmtId="0" fontId="1" fillId="36" borderId="0" xfId="0" applyFont="1" applyFill="1" applyBorder="1" applyAlignment="1">
      <alignment horizontal="left"/>
    </xf>
    <xf numFmtId="43" fontId="3" fillId="37" borderId="0" xfId="0" applyNumberFormat="1" applyFont="1" applyFill="1" applyBorder="1" applyAlignment="1" quotePrefix="1">
      <alignment horizontal="left"/>
    </xf>
    <xf numFmtId="43" fontId="3" fillId="38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3" fillId="39" borderId="0" xfId="0" applyNumberFormat="1" applyFont="1" applyFill="1" applyBorder="1" applyAlignment="1">
      <alignment/>
    </xf>
    <xf numFmtId="39" fontId="0" fillId="39" borderId="0" xfId="0" applyNumberFormat="1" applyFill="1" applyBorder="1" applyAlignment="1">
      <alignment/>
    </xf>
    <xf numFmtId="39" fontId="1" fillId="39" borderId="11" xfId="0" applyNumberFormat="1" applyFont="1" applyFill="1" applyBorder="1" applyAlignment="1">
      <alignment/>
    </xf>
    <xf numFmtId="39" fontId="3" fillId="39" borderId="0" xfId="0" applyNumberFormat="1" applyFont="1" applyFill="1" applyBorder="1" applyAlignment="1">
      <alignment/>
    </xf>
    <xf numFmtId="0" fontId="6" fillId="35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43" fontId="3" fillId="35" borderId="0" xfId="0" applyNumberFormat="1" applyFont="1" applyFill="1" applyBorder="1" applyAlignment="1" quotePrefix="1">
      <alignment horizontal="left"/>
    </xf>
    <xf numFmtId="0" fontId="6" fillId="38" borderId="0" xfId="0" applyFont="1" applyFill="1" applyAlignment="1">
      <alignment horizontal="right" vertical="center"/>
    </xf>
    <xf numFmtId="39" fontId="1" fillId="0" borderId="0" xfId="0" applyNumberFormat="1" applyFont="1" applyFill="1" applyBorder="1" applyAlignment="1">
      <alignment/>
    </xf>
    <xf numFmtId="43" fontId="0" fillId="0" borderId="0" xfId="42" applyFont="1" applyAlignment="1">
      <alignment/>
    </xf>
    <xf numFmtId="0" fontId="1" fillId="0" borderId="0" xfId="0" applyFont="1" applyFill="1" applyAlignment="1" quotePrefix="1">
      <alignment horizontal="center"/>
    </xf>
    <xf numFmtId="43" fontId="0" fillId="0" borderId="0" xfId="42" applyFont="1" applyFill="1" applyBorder="1" applyAlignment="1">
      <alignment/>
    </xf>
    <xf numFmtId="43" fontId="1" fillId="0" borderId="1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1" fillId="39" borderId="11" xfId="42" applyFont="1" applyFill="1" applyBorder="1" applyAlignment="1">
      <alignment/>
    </xf>
    <xf numFmtId="0" fontId="0" fillId="0" borderId="0" xfId="0" applyAlignment="1">
      <alignment wrapText="1"/>
    </xf>
    <xf numFmtId="39" fontId="1" fillId="39" borderId="0" xfId="0" applyNumberFormat="1" applyFont="1" applyFill="1" applyBorder="1" applyAlignment="1">
      <alignment/>
    </xf>
    <xf numFmtId="43" fontId="0" fillId="39" borderId="0" xfId="42" applyFont="1" applyFill="1" applyAlignment="1">
      <alignment/>
    </xf>
    <xf numFmtId="43" fontId="0" fillId="39" borderId="0" xfId="42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ER%20SCHOOLS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9"/>
  <sheetViews>
    <sheetView tabSelected="1" zoomScale="75" zoomScaleNormal="75" zoomScalePageLayoutView="0" workbookViewId="0" topLeftCell="A1">
      <pane xSplit="3" ySplit="2" topLeftCell="D103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079" sqref="O1079:O1080"/>
    </sheetView>
  </sheetViews>
  <sheetFormatPr defaultColWidth="9.140625" defaultRowHeight="5.25" customHeight="1"/>
  <cols>
    <col min="1" max="1" width="5.7109375" style="1" customWidth="1"/>
    <col min="2" max="2" width="4.7109375" style="1" customWidth="1"/>
    <col min="3" max="3" width="89.8515625" style="0" customWidth="1"/>
    <col min="4" max="14" width="18.7109375" style="0" customWidth="1"/>
    <col min="15" max="15" width="18.7109375" style="37" customWidth="1"/>
    <col min="16" max="19" width="18.7109375" style="0" customWidth="1"/>
    <col min="20" max="20" width="23.00390625" style="0" bestFit="1" customWidth="1"/>
    <col min="21" max="21" width="21.8515625" style="0" bestFit="1" customWidth="1"/>
    <col min="22" max="22" width="21.7109375" style="0" bestFit="1" customWidth="1"/>
    <col min="23" max="23" width="21.28125" style="0" bestFit="1" customWidth="1"/>
    <col min="24" max="24" width="21.7109375" style="0" bestFit="1" customWidth="1"/>
    <col min="25" max="26" width="22.00390625" style="0" bestFit="1" customWidth="1"/>
    <col min="27" max="28" width="21.8515625" style="0" bestFit="1" customWidth="1"/>
    <col min="29" max="29" width="21.7109375" style="0" bestFit="1" customWidth="1"/>
    <col min="30" max="31" width="21.57421875" style="0" bestFit="1" customWidth="1"/>
    <col min="32" max="32" width="21.28125" style="0" bestFit="1" customWidth="1"/>
    <col min="33" max="33" width="21.57421875" style="0" bestFit="1" customWidth="1"/>
    <col min="34" max="34" width="23.00390625" style="0" bestFit="1" customWidth="1"/>
    <col min="35" max="49" width="16.00390625" style="0" bestFit="1" customWidth="1"/>
    <col min="50" max="50" width="18.28125" style="0" bestFit="1" customWidth="1"/>
    <col min="51" max="51" width="18.421875" style="0" bestFit="1" customWidth="1"/>
    <col min="52" max="52" width="18.28125" style="0" bestFit="1" customWidth="1"/>
    <col min="53" max="53" width="18.421875" style="0" bestFit="1" customWidth="1"/>
    <col min="54" max="54" width="18.57421875" style="0" bestFit="1" customWidth="1"/>
    <col min="55" max="55" width="18.421875" style="0" bestFit="1" customWidth="1"/>
    <col min="56" max="56" width="22.140625" style="0" bestFit="1" customWidth="1"/>
    <col min="57" max="57" width="18.28125" style="0" bestFit="1" customWidth="1"/>
    <col min="58" max="58" width="18.421875" style="0" bestFit="1" customWidth="1"/>
    <col min="59" max="59" width="18.57421875" style="0" bestFit="1" customWidth="1"/>
    <col min="60" max="60" width="18.421875" style="0" bestFit="1" customWidth="1"/>
    <col min="61" max="61" width="22.140625" style="0" bestFit="1" customWidth="1"/>
    <col min="62" max="62" width="18.28125" style="0" bestFit="1" customWidth="1"/>
    <col min="63" max="63" width="18.421875" style="0" bestFit="1" customWidth="1"/>
    <col min="64" max="64" width="18.57421875" style="0" bestFit="1" customWidth="1"/>
    <col min="65" max="65" width="18.421875" style="0" bestFit="1" customWidth="1"/>
    <col min="66" max="66" width="18.28125" style="0" bestFit="1" customWidth="1"/>
    <col min="67" max="67" width="18.421875" style="0" bestFit="1" customWidth="1"/>
    <col min="68" max="68" width="18.57421875" style="0" bestFit="1" customWidth="1"/>
    <col min="69" max="69" width="18.421875" style="0" bestFit="1" customWidth="1"/>
    <col min="70" max="70" width="22.140625" style="0" bestFit="1" customWidth="1"/>
    <col min="71" max="71" width="21.28125" style="0" bestFit="1" customWidth="1"/>
    <col min="72" max="72" width="18.28125" style="0" bestFit="1" customWidth="1"/>
    <col min="73" max="73" width="18.421875" style="0" bestFit="1" customWidth="1"/>
    <col min="74" max="74" width="18.57421875" style="0" bestFit="1" customWidth="1"/>
    <col min="75" max="75" width="18.421875" style="0" bestFit="1" customWidth="1"/>
    <col min="76" max="76" width="22.140625" style="0" bestFit="1" customWidth="1"/>
    <col min="77" max="78" width="21.28125" style="0" bestFit="1" customWidth="1"/>
    <col min="79" max="80" width="20.57421875" style="0" bestFit="1" customWidth="1"/>
    <col min="81" max="83" width="21.28125" style="0" bestFit="1" customWidth="1"/>
    <col min="84" max="89" width="16.00390625" style="0" bestFit="1" customWidth="1"/>
    <col min="90" max="90" width="17.28125" style="0" bestFit="1" customWidth="1"/>
  </cols>
  <sheetData>
    <row r="1" ht="37.5">
      <c r="C1" s="2" t="s">
        <v>0</v>
      </c>
    </row>
    <row r="2" spans="3:16" ht="13.5" customHeight="1">
      <c r="C2" s="3" t="s">
        <v>1</v>
      </c>
      <c r="D2" s="25">
        <v>43282</v>
      </c>
      <c r="E2" s="25">
        <v>43313</v>
      </c>
      <c r="F2" s="25">
        <v>43344</v>
      </c>
      <c r="G2" s="25">
        <v>43374</v>
      </c>
      <c r="H2" s="25">
        <v>43405</v>
      </c>
      <c r="I2" s="25">
        <v>43435</v>
      </c>
      <c r="J2" s="25">
        <v>43466</v>
      </c>
      <c r="K2" s="25">
        <v>43497</v>
      </c>
      <c r="L2" s="25">
        <v>43525</v>
      </c>
      <c r="M2" s="25">
        <v>43556</v>
      </c>
      <c r="N2" s="25">
        <v>43586</v>
      </c>
      <c r="O2" s="38">
        <v>43617</v>
      </c>
      <c r="P2" s="29" t="s">
        <v>292</v>
      </c>
    </row>
    <row r="3" ht="13.5" customHeight="1">
      <c r="C3" s="4"/>
    </row>
    <row r="4" spans="2:3" ht="13.5" customHeight="1">
      <c r="B4" s="9" t="s">
        <v>105</v>
      </c>
      <c r="C4" s="30" t="s">
        <v>2</v>
      </c>
    </row>
    <row r="5" ht="13.5" customHeight="1">
      <c r="C5" s="4" t="s">
        <v>3</v>
      </c>
    </row>
    <row r="6" ht="13.5" customHeight="1">
      <c r="C6" s="4" t="s">
        <v>4</v>
      </c>
    </row>
    <row r="7" ht="13.5" customHeight="1" thickBot="1">
      <c r="C7" s="4" t="s">
        <v>5</v>
      </c>
    </row>
    <row r="8" ht="13.5" customHeight="1" thickBot="1">
      <c r="C8" s="6" t="s">
        <v>6</v>
      </c>
    </row>
    <row r="9" ht="13.5" customHeight="1">
      <c r="C9" s="4"/>
    </row>
    <row r="10" spans="2:3" ht="13.5" customHeight="1">
      <c r="B10" s="9" t="s">
        <v>105</v>
      </c>
      <c r="C10" s="10" t="s">
        <v>7</v>
      </c>
    </row>
    <row r="11" ht="13.5" customHeight="1">
      <c r="C11" s="4" t="str">
        <f>C5</f>
        <v>Debt Reserve</v>
      </c>
    </row>
    <row r="12" ht="13.5" customHeight="1">
      <c r="C12" s="4" t="str">
        <f>C6</f>
        <v>Treasury Fee</v>
      </c>
    </row>
    <row r="13" ht="13.5" customHeight="1" thickBot="1">
      <c r="C13" s="4" t="str">
        <f>C7</f>
        <v>Intercept</v>
      </c>
    </row>
    <row r="14" ht="13.5" customHeight="1" thickBot="1">
      <c r="C14" s="6" t="s">
        <v>8</v>
      </c>
    </row>
    <row r="15" ht="13.5" customHeight="1">
      <c r="C15" s="4"/>
    </row>
    <row r="16" spans="2:3" ht="13.5" customHeight="1">
      <c r="B16" s="7" t="s">
        <v>104</v>
      </c>
      <c r="C16" s="8" t="s">
        <v>9</v>
      </c>
    </row>
    <row r="17" ht="13.5" customHeight="1">
      <c r="C17" s="4" t="str">
        <f>C11</f>
        <v>Debt Reserve</v>
      </c>
    </row>
    <row r="18" ht="13.5" customHeight="1">
      <c r="C18" s="4" t="str">
        <f>C12</f>
        <v>Treasury Fee</v>
      </c>
    </row>
    <row r="19" ht="13.5" customHeight="1" thickBot="1">
      <c r="C19" s="4" t="str">
        <f>C13</f>
        <v>Intercept</v>
      </c>
    </row>
    <row r="20" ht="13.5" customHeight="1" thickBot="1">
      <c r="C20" s="6" t="s">
        <v>10</v>
      </c>
    </row>
    <row r="21" ht="13.5" customHeight="1">
      <c r="C21" s="4"/>
    </row>
    <row r="22" spans="2:3" ht="13.5" customHeight="1">
      <c r="B22" s="7" t="s">
        <v>104</v>
      </c>
      <c r="C22" s="8" t="s">
        <v>54</v>
      </c>
    </row>
    <row r="23" ht="13.5" customHeight="1">
      <c r="C23" s="4" t="str">
        <f>C17</f>
        <v>Debt Reserve</v>
      </c>
    </row>
    <row r="24" ht="13.5" customHeight="1">
      <c r="C24" s="4" t="str">
        <f>C18</f>
        <v>Treasury Fee</v>
      </c>
    </row>
    <row r="25" ht="13.5" customHeight="1" thickBot="1">
      <c r="C25" s="4" t="str">
        <f>C19</f>
        <v>Intercept</v>
      </c>
    </row>
    <row r="26" ht="13.5" customHeight="1" thickBot="1">
      <c r="C26" s="6" t="s">
        <v>11</v>
      </c>
    </row>
    <row r="27" ht="13.5" customHeight="1">
      <c r="C27" s="4"/>
    </row>
    <row r="28" spans="1:16" ht="13.5" customHeight="1">
      <c r="A28" s="20"/>
      <c r="B28" s="9" t="s">
        <v>105</v>
      </c>
      <c r="C28" s="30" t="s">
        <v>125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P28" s="43"/>
    </row>
    <row r="29" spans="1:16" ht="13.5" customHeight="1">
      <c r="A29" s="20"/>
      <c r="B29" s="20"/>
      <c r="C29" s="4" t="str">
        <f>C23</f>
        <v>Debt Reserve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P29" s="43"/>
    </row>
    <row r="30" spans="1:16" ht="13.5" customHeight="1">
      <c r="A30" s="20"/>
      <c r="B30" s="20"/>
      <c r="C30" s="4" t="str">
        <f>C24</f>
        <v>Treasury Fee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P30" s="43"/>
    </row>
    <row r="31" spans="1:16" ht="13.5" customHeight="1" thickBot="1">
      <c r="A31" s="20"/>
      <c r="B31" s="20"/>
      <c r="C31" s="4" t="str">
        <f>C25</f>
        <v>Intercept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P31" s="43"/>
    </row>
    <row r="32" spans="1:16" ht="13.5" customHeight="1" thickBot="1">
      <c r="A32" s="20"/>
      <c r="B32" s="20"/>
      <c r="C32" s="6" t="s">
        <v>124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P32" s="43"/>
    </row>
    <row r="33" ht="13.5" customHeight="1">
      <c r="C33" s="4"/>
    </row>
    <row r="34" spans="2:3" ht="13.5" customHeight="1">
      <c r="B34" s="9" t="s">
        <v>105</v>
      </c>
      <c r="C34" s="30" t="s">
        <v>12</v>
      </c>
    </row>
    <row r="35" ht="13.5" customHeight="1">
      <c r="C35" s="4" t="str">
        <f>C29</f>
        <v>Debt Reserve</v>
      </c>
    </row>
    <row r="36" ht="13.5" customHeight="1">
      <c r="C36" s="4" t="str">
        <f>C30</f>
        <v>Treasury Fee</v>
      </c>
    </row>
    <row r="37" ht="13.5" customHeight="1" thickBot="1">
      <c r="C37" s="4" t="str">
        <f>C31</f>
        <v>Intercept</v>
      </c>
    </row>
    <row r="38" ht="13.5" customHeight="1" thickBot="1">
      <c r="C38" s="6" t="s">
        <v>13</v>
      </c>
    </row>
    <row r="39" ht="13.5" customHeight="1">
      <c r="C39" s="4"/>
    </row>
    <row r="40" spans="2:3" ht="13.5" customHeight="1">
      <c r="B40" s="9" t="s">
        <v>105</v>
      </c>
      <c r="C40" s="10" t="s">
        <v>14</v>
      </c>
    </row>
    <row r="41" ht="13.5" customHeight="1">
      <c r="C41" s="4" t="str">
        <f>C35</f>
        <v>Debt Reserve</v>
      </c>
    </row>
    <row r="42" ht="13.5" customHeight="1">
      <c r="C42" s="4" t="str">
        <f>C36</f>
        <v>Treasury Fee</v>
      </c>
    </row>
    <row r="43" ht="13.5" customHeight="1" thickBot="1">
      <c r="C43" s="4" t="str">
        <f>C37</f>
        <v>Intercept</v>
      </c>
    </row>
    <row r="44" ht="13.5" customHeight="1" thickBot="1">
      <c r="C44" s="6" t="s">
        <v>15</v>
      </c>
    </row>
    <row r="45" ht="13.5" customHeight="1">
      <c r="C45" s="4"/>
    </row>
    <row r="46" spans="2:3" ht="13.5" customHeight="1">
      <c r="B46" s="9" t="s">
        <v>105</v>
      </c>
      <c r="C46" s="11" t="s">
        <v>87</v>
      </c>
    </row>
    <row r="47" ht="13.5" customHeight="1">
      <c r="C47" s="4" t="str">
        <f>C41</f>
        <v>Debt Reserve</v>
      </c>
    </row>
    <row r="48" ht="13.5" customHeight="1">
      <c r="C48" s="4" t="str">
        <f>C42</f>
        <v>Treasury Fee</v>
      </c>
    </row>
    <row r="49" ht="13.5" customHeight="1" thickBot="1">
      <c r="C49" s="4" t="str">
        <f>C43</f>
        <v>Intercept</v>
      </c>
    </row>
    <row r="50" ht="13.5" customHeight="1" thickBot="1">
      <c r="C50" s="6" t="s">
        <v>16</v>
      </c>
    </row>
    <row r="51" ht="13.5" customHeight="1">
      <c r="C51" s="4"/>
    </row>
    <row r="52" spans="2:3" ht="13.5" customHeight="1">
      <c r="B52" s="9" t="s">
        <v>105</v>
      </c>
      <c r="C52" s="10" t="s">
        <v>17</v>
      </c>
    </row>
    <row r="53" ht="13.5" customHeight="1">
      <c r="C53" s="4" t="str">
        <f>C47</f>
        <v>Debt Reserve</v>
      </c>
    </row>
    <row r="54" ht="13.5" customHeight="1">
      <c r="C54" s="4" t="str">
        <f>C48</f>
        <v>Treasury Fee</v>
      </c>
    </row>
    <row r="55" ht="13.5" customHeight="1" thickBot="1">
      <c r="C55" s="4" t="str">
        <f>C49</f>
        <v>Intercept</v>
      </c>
    </row>
    <row r="56" ht="13.5" customHeight="1" thickBot="1">
      <c r="C56" s="6" t="s">
        <v>18</v>
      </c>
    </row>
    <row r="57" ht="13.5" customHeight="1">
      <c r="C57" s="4"/>
    </row>
    <row r="58" spans="2:3" ht="13.5" customHeight="1">
      <c r="B58" s="9" t="s">
        <v>105</v>
      </c>
      <c r="C58" s="30" t="s">
        <v>137</v>
      </c>
    </row>
    <row r="59" ht="13.5" customHeight="1">
      <c r="C59" s="4" t="str">
        <f>C53</f>
        <v>Debt Reserve</v>
      </c>
    </row>
    <row r="60" ht="13.5" customHeight="1">
      <c r="C60" s="4" t="str">
        <f>C54</f>
        <v>Treasury Fee</v>
      </c>
    </row>
    <row r="61" ht="13.5" customHeight="1" thickBot="1">
      <c r="C61" s="4" t="str">
        <f>C55</f>
        <v>Intercept</v>
      </c>
    </row>
    <row r="62" ht="13.5" customHeight="1" thickBot="1">
      <c r="C62" s="6" t="s">
        <v>138</v>
      </c>
    </row>
    <row r="63" ht="13.5" customHeight="1">
      <c r="C63" s="4"/>
    </row>
    <row r="64" spans="2:3" ht="13.5" customHeight="1">
      <c r="B64" s="9" t="s">
        <v>105</v>
      </c>
      <c r="C64" s="10" t="s">
        <v>19</v>
      </c>
    </row>
    <row r="65" ht="13.5" customHeight="1">
      <c r="C65" s="4" t="str">
        <f>C59</f>
        <v>Debt Reserve</v>
      </c>
    </row>
    <row r="66" ht="13.5" customHeight="1">
      <c r="C66" s="4" t="str">
        <f>C60</f>
        <v>Treasury Fee</v>
      </c>
    </row>
    <row r="67" ht="13.5" customHeight="1" thickBot="1">
      <c r="C67" s="4" t="str">
        <f>C61</f>
        <v>Intercept</v>
      </c>
    </row>
    <row r="68" ht="13.5" customHeight="1" thickBot="1">
      <c r="C68" s="6" t="s">
        <v>20</v>
      </c>
    </row>
    <row r="69" ht="13.5" customHeight="1">
      <c r="C69" s="4"/>
    </row>
    <row r="70" spans="2:3" ht="13.5" customHeight="1">
      <c r="B70" s="9" t="s">
        <v>105</v>
      </c>
      <c r="C70" s="30" t="s">
        <v>21</v>
      </c>
    </row>
    <row r="71" ht="13.5" customHeight="1">
      <c r="C71" s="4" t="str">
        <f>C65</f>
        <v>Debt Reserve</v>
      </c>
    </row>
    <row r="72" ht="13.5" customHeight="1">
      <c r="C72" s="4" t="str">
        <f>C66</f>
        <v>Treasury Fee</v>
      </c>
    </row>
    <row r="73" ht="13.5" customHeight="1" thickBot="1">
      <c r="C73" s="4" t="str">
        <f>C67</f>
        <v>Intercept</v>
      </c>
    </row>
    <row r="74" ht="13.5" customHeight="1" thickBot="1">
      <c r="C74" s="6" t="s">
        <v>22</v>
      </c>
    </row>
    <row r="75" ht="13.5" customHeight="1">
      <c r="C75" s="4"/>
    </row>
    <row r="76" spans="1:3" ht="13.5" customHeight="1">
      <c r="A76" s="1">
        <v>1</v>
      </c>
      <c r="C76" s="5" t="s">
        <v>23</v>
      </c>
    </row>
    <row r="77" spans="3:16" ht="13.5" customHeight="1">
      <c r="C77" s="4" t="str">
        <f>C71</f>
        <v>Debt Reserve</v>
      </c>
      <c r="D77" s="26">
        <v>437.08</v>
      </c>
      <c r="E77" s="26">
        <v>437.08</v>
      </c>
      <c r="F77" s="26">
        <v>437.08</v>
      </c>
      <c r="G77" s="26">
        <v>437.08</v>
      </c>
      <c r="H77" s="26">
        <v>437.08</v>
      </c>
      <c r="I77" s="26">
        <v>437.08</v>
      </c>
      <c r="J77" s="26">
        <v>437.08</v>
      </c>
      <c r="K77" s="26">
        <v>437.08</v>
      </c>
      <c r="L77" s="26">
        <v>437.08</v>
      </c>
      <c r="M77" s="26">
        <v>437.08</v>
      </c>
      <c r="N77" s="47">
        <v>412.5</v>
      </c>
      <c r="O77" s="55">
        <v>412.5</v>
      </c>
      <c r="P77" s="26">
        <f>SUM(D77:O77)</f>
        <v>5195.8</v>
      </c>
    </row>
    <row r="78" spans="3:16" ht="13.5" customHeight="1">
      <c r="C78" s="4" t="str">
        <f>C72</f>
        <v>Treasury Fee</v>
      </c>
      <c r="D78" s="47">
        <v>250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5"/>
      <c r="P78" s="26">
        <f>SUM(D78:O78)</f>
        <v>250</v>
      </c>
    </row>
    <row r="79" spans="3:16" ht="13.5" customHeight="1" thickBot="1">
      <c r="C79" s="4" t="str">
        <f>C73</f>
        <v>Intercept</v>
      </c>
      <c r="D79" s="26">
        <f aca="true" t="shared" si="0" ref="D79:N79">24583.33+22211.46</f>
        <v>46794.79</v>
      </c>
      <c r="E79" s="26">
        <f t="shared" si="0"/>
        <v>46794.79</v>
      </c>
      <c r="F79" s="26">
        <f t="shared" si="0"/>
        <v>46794.79</v>
      </c>
      <c r="G79" s="26">
        <f t="shared" si="0"/>
        <v>46794.79</v>
      </c>
      <c r="H79" s="26">
        <f t="shared" si="0"/>
        <v>46794.79</v>
      </c>
      <c r="I79" s="26">
        <f t="shared" si="0"/>
        <v>46794.79</v>
      </c>
      <c r="J79" s="26">
        <f t="shared" si="0"/>
        <v>46794.79</v>
      </c>
      <c r="K79" s="26">
        <f t="shared" si="0"/>
        <v>46794.79</v>
      </c>
      <c r="L79" s="26">
        <f t="shared" si="0"/>
        <v>46794.79</v>
      </c>
      <c r="M79" s="26">
        <f t="shared" si="0"/>
        <v>46794.79</v>
      </c>
      <c r="N79" s="26">
        <f t="shared" si="0"/>
        <v>46794.79</v>
      </c>
      <c r="O79" s="55">
        <f>25833.33+20982.29</f>
        <v>46815.62</v>
      </c>
      <c r="P79" s="26">
        <f>SUM(D79:O79)</f>
        <v>561558.3099999999</v>
      </c>
    </row>
    <row r="80" spans="3:16" ht="13.5" customHeight="1" thickBot="1">
      <c r="C80" s="6" t="s">
        <v>24</v>
      </c>
      <c r="D80" s="27">
        <f aca="true" t="shared" si="1" ref="D80:P80">SUM(D77:D79)</f>
        <v>47481.87</v>
      </c>
      <c r="E80" s="27">
        <f t="shared" si="1"/>
        <v>47231.87</v>
      </c>
      <c r="F80" s="27">
        <f t="shared" si="1"/>
        <v>47231.87</v>
      </c>
      <c r="G80" s="27">
        <f t="shared" si="1"/>
        <v>47231.87</v>
      </c>
      <c r="H80" s="27">
        <f t="shared" si="1"/>
        <v>47231.87</v>
      </c>
      <c r="I80" s="27">
        <f t="shared" si="1"/>
        <v>47231.87</v>
      </c>
      <c r="J80" s="27">
        <f t="shared" si="1"/>
        <v>47231.87</v>
      </c>
      <c r="K80" s="27">
        <f t="shared" si="1"/>
        <v>47231.87</v>
      </c>
      <c r="L80" s="27">
        <f t="shared" si="1"/>
        <v>47231.87</v>
      </c>
      <c r="M80" s="27">
        <f t="shared" si="1"/>
        <v>47231.87</v>
      </c>
      <c r="N80" s="27">
        <f t="shared" si="1"/>
        <v>47207.29</v>
      </c>
      <c r="O80" s="40">
        <f t="shared" si="1"/>
        <v>47228.12</v>
      </c>
      <c r="P80" s="27">
        <f t="shared" si="1"/>
        <v>567004.11</v>
      </c>
    </row>
    <row r="81" ht="13.5" customHeight="1">
      <c r="C81" s="12"/>
    </row>
    <row r="82" spans="1:3" ht="13.5" customHeight="1">
      <c r="A82" s="1">
        <f>A76+1</f>
        <v>2</v>
      </c>
      <c r="C82" s="5" t="s">
        <v>25</v>
      </c>
    </row>
    <row r="83" spans="3:16" ht="13.5" customHeight="1">
      <c r="C83" s="4" t="str">
        <f>C77</f>
        <v>Debt Reserve</v>
      </c>
      <c r="D83" s="47">
        <v>1348.75</v>
      </c>
      <c r="E83" s="47">
        <v>1348.75</v>
      </c>
      <c r="F83" s="47">
        <v>1348.75</v>
      </c>
      <c r="G83" s="47">
        <v>1348.75</v>
      </c>
      <c r="H83" s="47">
        <v>1348.75</v>
      </c>
      <c r="I83" s="47">
        <v>1348.75</v>
      </c>
      <c r="J83" s="47">
        <v>1348.75</v>
      </c>
      <c r="K83" s="47">
        <v>1348.75</v>
      </c>
      <c r="L83" s="47">
        <v>1348.75</v>
      </c>
      <c r="M83" s="47">
        <v>1348.75</v>
      </c>
      <c r="N83" s="47">
        <v>1302.08</v>
      </c>
      <c r="O83" s="55">
        <v>1302.08</v>
      </c>
      <c r="P83" s="49">
        <f>SUM(D83:O83)</f>
        <v>16091.66</v>
      </c>
    </row>
    <row r="84" spans="3:16" ht="13.5" customHeight="1">
      <c r="C84" s="4" t="str">
        <f>C78</f>
        <v>Treasury Fee</v>
      </c>
      <c r="D84" s="47">
        <v>250</v>
      </c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5"/>
      <c r="P84" s="49">
        <f>SUM(D84:O84)</f>
        <v>250</v>
      </c>
    </row>
    <row r="85" spans="3:16" ht="13.5" customHeight="1" thickBot="1">
      <c r="C85" s="4" t="str">
        <f>C79</f>
        <v>Intercept</v>
      </c>
      <c r="D85" s="47">
        <f>46666.67+72595.83</f>
        <v>119262.5</v>
      </c>
      <c r="E85" s="47">
        <f aca="true" t="shared" si="2" ref="E85:M85">46666.67+72595.83</f>
        <v>119262.5</v>
      </c>
      <c r="F85" s="47">
        <f t="shared" si="2"/>
        <v>119262.5</v>
      </c>
      <c r="G85" s="47">
        <f t="shared" si="2"/>
        <v>119262.5</v>
      </c>
      <c r="H85" s="47">
        <f t="shared" si="2"/>
        <v>119262.5</v>
      </c>
      <c r="I85" s="47">
        <f t="shared" si="2"/>
        <v>119262.5</v>
      </c>
      <c r="J85" s="47">
        <f t="shared" si="2"/>
        <v>119262.5</v>
      </c>
      <c r="K85" s="47">
        <f t="shared" si="2"/>
        <v>119262.5</v>
      </c>
      <c r="L85" s="47">
        <f t="shared" si="2"/>
        <v>119262.5</v>
      </c>
      <c r="M85" s="47">
        <f t="shared" si="2"/>
        <v>119262.5</v>
      </c>
      <c r="N85" s="47">
        <f>48750+70262.5</f>
        <v>119012.5</v>
      </c>
      <c r="O85" s="55">
        <f>48750+70262.5</f>
        <v>119012.5</v>
      </c>
      <c r="P85" s="49">
        <f>SUM(D85:O85)</f>
        <v>1430650</v>
      </c>
    </row>
    <row r="86" spans="3:16" ht="13.5" customHeight="1" thickBot="1">
      <c r="C86" s="6" t="s">
        <v>26</v>
      </c>
      <c r="D86" s="50">
        <f aca="true" t="shared" si="3" ref="D86:P86">SUM(D83:D85)</f>
        <v>120861.25</v>
      </c>
      <c r="E86" s="50">
        <f t="shared" si="3"/>
        <v>120611.25</v>
      </c>
      <c r="F86" s="50">
        <f t="shared" si="3"/>
        <v>120611.25</v>
      </c>
      <c r="G86" s="50">
        <f t="shared" si="3"/>
        <v>120611.25</v>
      </c>
      <c r="H86" s="50">
        <f t="shared" si="3"/>
        <v>120611.25</v>
      </c>
      <c r="I86" s="50">
        <f t="shared" si="3"/>
        <v>120611.25</v>
      </c>
      <c r="J86" s="50">
        <f t="shared" si="3"/>
        <v>120611.25</v>
      </c>
      <c r="K86" s="50">
        <f t="shared" si="3"/>
        <v>120611.25</v>
      </c>
      <c r="L86" s="50">
        <f t="shared" si="3"/>
        <v>120611.25</v>
      </c>
      <c r="M86" s="50">
        <f t="shared" si="3"/>
        <v>120611.25</v>
      </c>
      <c r="N86" s="50">
        <f t="shared" si="3"/>
        <v>120314.58</v>
      </c>
      <c r="O86" s="52">
        <f t="shared" si="3"/>
        <v>120314.58</v>
      </c>
      <c r="P86" s="50">
        <f t="shared" si="3"/>
        <v>1446991.66</v>
      </c>
    </row>
    <row r="87" ht="13.5" customHeight="1">
      <c r="C87" s="12"/>
    </row>
    <row r="88" spans="2:3" ht="13.5" customHeight="1">
      <c r="B88" s="9" t="s">
        <v>105</v>
      </c>
      <c r="C88" s="30" t="s">
        <v>27</v>
      </c>
    </row>
    <row r="89" ht="13.5" customHeight="1">
      <c r="C89" s="4" t="str">
        <f>C83</f>
        <v>Debt Reserve</v>
      </c>
    </row>
    <row r="90" ht="13.5" customHeight="1">
      <c r="C90" s="4" t="str">
        <f>C84</f>
        <v>Treasury Fee</v>
      </c>
    </row>
    <row r="91" ht="13.5" customHeight="1" thickBot="1">
      <c r="C91" s="4" t="str">
        <f>C85</f>
        <v>Intercept</v>
      </c>
    </row>
    <row r="92" ht="13.5" customHeight="1" thickBot="1">
      <c r="C92" s="6" t="s">
        <v>28</v>
      </c>
    </row>
    <row r="93" ht="13.5" customHeight="1">
      <c r="C93" s="12"/>
    </row>
    <row r="94" spans="2:3" ht="13.5" customHeight="1">
      <c r="B94" s="9" t="s">
        <v>105</v>
      </c>
      <c r="C94" s="10" t="s">
        <v>29</v>
      </c>
    </row>
    <row r="95" ht="13.5" customHeight="1">
      <c r="C95" s="4" t="str">
        <f>C89</f>
        <v>Debt Reserve</v>
      </c>
    </row>
    <row r="96" ht="13.5" customHeight="1">
      <c r="C96" s="4" t="str">
        <f>C90</f>
        <v>Treasury Fee</v>
      </c>
    </row>
    <row r="97" ht="13.5" customHeight="1" thickBot="1">
      <c r="C97" s="4" t="str">
        <f>C91</f>
        <v>Intercept</v>
      </c>
    </row>
    <row r="98" ht="13.5" customHeight="1" thickBot="1">
      <c r="C98" s="6" t="s">
        <v>30</v>
      </c>
    </row>
    <row r="99" ht="13.5" customHeight="1">
      <c r="C99" s="12"/>
    </row>
    <row r="100" spans="2:3" ht="13.5" customHeight="1">
      <c r="B100" s="9" t="s">
        <v>105</v>
      </c>
      <c r="C100" s="10" t="s">
        <v>31</v>
      </c>
    </row>
    <row r="101" ht="13.5" customHeight="1">
      <c r="C101" s="4" t="str">
        <f>C95</f>
        <v>Debt Reserve</v>
      </c>
    </row>
    <row r="102" ht="13.5" customHeight="1">
      <c r="C102" s="4" t="str">
        <f>C96</f>
        <v>Treasury Fee</v>
      </c>
    </row>
    <row r="103" ht="13.5" customHeight="1" thickBot="1">
      <c r="C103" s="4" t="str">
        <f>C97</f>
        <v>Intercept</v>
      </c>
    </row>
    <row r="104" ht="13.5" customHeight="1" thickBot="1">
      <c r="C104" s="6" t="s">
        <v>32</v>
      </c>
    </row>
    <row r="105" ht="13.5" customHeight="1">
      <c r="C105" s="12"/>
    </row>
    <row r="106" spans="2:3" ht="13.5" customHeight="1">
      <c r="B106" s="9" t="s">
        <v>105</v>
      </c>
      <c r="C106" s="30" t="s">
        <v>33</v>
      </c>
    </row>
    <row r="107" ht="13.5" customHeight="1">
      <c r="C107" s="4" t="str">
        <f>C89</f>
        <v>Debt Reserve</v>
      </c>
    </row>
    <row r="108" ht="13.5" customHeight="1">
      <c r="C108" s="4" t="str">
        <f>C90</f>
        <v>Treasury Fee</v>
      </c>
    </row>
    <row r="109" ht="13.5" customHeight="1" thickBot="1">
      <c r="C109" s="4" t="str">
        <f>C91</f>
        <v>Intercept</v>
      </c>
    </row>
    <row r="110" ht="13.5" customHeight="1" thickBot="1">
      <c r="C110" s="6" t="s">
        <v>34</v>
      </c>
    </row>
    <row r="111" ht="13.5" customHeight="1">
      <c r="C111" s="12"/>
    </row>
    <row r="112" spans="2:3" ht="13.5" customHeight="1">
      <c r="B112" s="9" t="s">
        <v>105</v>
      </c>
      <c r="C112" s="30" t="s">
        <v>35</v>
      </c>
    </row>
    <row r="113" ht="13.5" customHeight="1">
      <c r="C113" s="4" t="str">
        <f>C95</f>
        <v>Debt Reserve</v>
      </c>
    </row>
    <row r="114" ht="13.5" customHeight="1">
      <c r="C114" s="4" t="str">
        <f>C96</f>
        <v>Treasury Fee</v>
      </c>
    </row>
    <row r="115" ht="13.5" customHeight="1" thickBot="1">
      <c r="C115" s="4" t="str">
        <f>C97</f>
        <v>Intercept</v>
      </c>
    </row>
    <row r="116" ht="13.5" customHeight="1" thickBot="1">
      <c r="C116" s="6" t="s">
        <v>36</v>
      </c>
    </row>
    <row r="117" ht="13.5" customHeight="1">
      <c r="C117" s="12"/>
    </row>
    <row r="118" spans="2:3" ht="13.5" customHeight="1">
      <c r="B118" s="9" t="s">
        <v>105</v>
      </c>
      <c r="C118" s="30" t="s">
        <v>157</v>
      </c>
    </row>
    <row r="119" ht="13.5" customHeight="1">
      <c r="C119" s="4" t="str">
        <f>C101</f>
        <v>Debt Reserve</v>
      </c>
    </row>
    <row r="120" ht="13.5" customHeight="1">
      <c r="C120" s="4" t="str">
        <f>C102</f>
        <v>Treasury Fee</v>
      </c>
    </row>
    <row r="121" ht="13.5" customHeight="1" thickBot="1">
      <c r="C121" s="4" t="str">
        <f>C103</f>
        <v>Intercept</v>
      </c>
    </row>
    <row r="122" ht="13.5" customHeight="1" thickBot="1">
      <c r="C122" s="6" t="s">
        <v>37</v>
      </c>
    </row>
    <row r="123" ht="13.5" customHeight="1">
      <c r="C123" s="12"/>
    </row>
    <row r="124" spans="2:3" ht="13.5" customHeight="1">
      <c r="B124" s="9" t="s">
        <v>105</v>
      </c>
      <c r="C124" s="30" t="s">
        <v>38</v>
      </c>
    </row>
    <row r="125" spans="3:16" ht="13.5" customHeight="1">
      <c r="C125" s="4" t="str">
        <f>C107</f>
        <v>Debt Reserve</v>
      </c>
      <c r="D125" s="26">
        <v>387.5</v>
      </c>
      <c r="E125" s="26">
        <v>387.5</v>
      </c>
      <c r="F125" s="26">
        <v>387.5</v>
      </c>
      <c r="G125" s="26">
        <v>387.5</v>
      </c>
      <c r="H125" s="26">
        <v>387.5</v>
      </c>
      <c r="I125" s="26">
        <v>387.5</v>
      </c>
      <c r="J125" s="26">
        <v>387.5</v>
      </c>
      <c r="K125" s="26">
        <v>387.5</v>
      </c>
      <c r="L125" s="26">
        <v>387.5</v>
      </c>
      <c r="M125" s="26"/>
      <c r="N125" s="47"/>
      <c r="O125" s="55"/>
      <c r="P125" s="26">
        <f>SUM(D125:O125)</f>
        <v>3487.5</v>
      </c>
    </row>
    <row r="126" spans="3:16" ht="13.5" customHeight="1">
      <c r="C126" s="4" t="str">
        <f>C108</f>
        <v>Treasury Fee</v>
      </c>
      <c r="D126" s="47">
        <v>250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55"/>
      <c r="P126" s="26">
        <f>SUM(D126:O126)</f>
        <v>250</v>
      </c>
    </row>
    <row r="127" spans="3:16" ht="13.5" customHeight="1" thickBot="1">
      <c r="C127" s="4" t="str">
        <f>C109</f>
        <v>Intercept</v>
      </c>
      <c r="D127" s="26">
        <f>14583.33+20167.71</f>
        <v>34751.04</v>
      </c>
      <c r="E127" s="26">
        <f>14583.33+20167.71</f>
        <v>34751.04</v>
      </c>
      <c r="F127" s="26">
        <f>14583.33+20167.71</f>
        <v>34751.04</v>
      </c>
      <c r="G127" s="26">
        <f>14583.33+20167.71</f>
        <v>34751.04</v>
      </c>
      <c r="H127" s="26">
        <f>14583.33+20167.71</f>
        <v>34751.04</v>
      </c>
      <c r="I127" s="47">
        <f>15416.67+19420.31</f>
        <v>34836.98</v>
      </c>
      <c r="J127" s="47">
        <f>15416.67+19420.31</f>
        <v>34836.98</v>
      </c>
      <c r="K127" s="47">
        <f>15416.67+19420.31</f>
        <v>34836.98</v>
      </c>
      <c r="L127" s="47">
        <f>15416.67+19420.31</f>
        <v>34836.98</v>
      </c>
      <c r="M127" s="47"/>
      <c r="N127" s="47"/>
      <c r="O127" s="55"/>
      <c r="P127" s="26">
        <f>SUM(D127:O127)</f>
        <v>313103.12</v>
      </c>
    </row>
    <row r="128" spans="3:16" ht="13.5" customHeight="1" thickBot="1">
      <c r="C128" s="6" t="s">
        <v>39</v>
      </c>
      <c r="D128" s="27">
        <f aca="true" t="shared" si="4" ref="D128:P128">SUM(D125:D127)</f>
        <v>35388.54</v>
      </c>
      <c r="E128" s="27">
        <f t="shared" si="4"/>
        <v>35138.54</v>
      </c>
      <c r="F128" s="27">
        <f t="shared" si="4"/>
        <v>35138.54</v>
      </c>
      <c r="G128" s="27">
        <f t="shared" si="4"/>
        <v>35138.54</v>
      </c>
      <c r="H128" s="27">
        <f t="shared" si="4"/>
        <v>35138.54</v>
      </c>
      <c r="I128" s="27">
        <f t="shared" si="4"/>
        <v>35224.48</v>
      </c>
      <c r="J128" s="27">
        <f t="shared" si="4"/>
        <v>35224.48</v>
      </c>
      <c r="K128" s="27">
        <f t="shared" si="4"/>
        <v>35224.48</v>
      </c>
      <c r="L128" s="27">
        <f t="shared" si="4"/>
        <v>35224.48</v>
      </c>
      <c r="M128" s="27">
        <f t="shared" si="4"/>
        <v>0</v>
      </c>
      <c r="N128" s="27">
        <f t="shared" si="4"/>
        <v>0</v>
      </c>
      <c r="O128" s="40">
        <f t="shared" si="4"/>
        <v>0</v>
      </c>
      <c r="P128" s="27">
        <f t="shared" si="4"/>
        <v>316840.62</v>
      </c>
    </row>
    <row r="129" ht="13.5" customHeight="1">
      <c r="C129" s="12"/>
    </row>
    <row r="130" spans="2:3" ht="13.5" customHeight="1">
      <c r="B130" s="9" t="s">
        <v>105</v>
      </c>
      <c r="C130" s="30" t="s">
        <v>42</v>
      </c>
    </row>
    <row r="131" ht="13.5" customHeight="1">
      <c r="C131" s="4" t="str">
        <f>C113</f>
        <v>Debt Reserve</v>
      </c>
    </row>
    <row r="132" ht="13.5" customHeight="1">
      <c r="C132" s="4" t="str">
        <f>C114</f>
        <v>Treasury Fee</v>
      </c>
    </row>
    <row r="133" ht="13.5" customHeight="1" thickBot="1">
      <c r="C133" s="4" t="str">
        <f>C115</f>
        <v>Intercept</v>
      </c>
    </row>
    <row r="134" ht="13.5" customHeight="1" thickBot="1">
      <c r="C134" s="6" t="s">
        <v>40</v>
      </c>
    </row>
    <row r="135" ht="13.5" customHeight="1">
      <c r="C135" s="12"/>
    </row>
    <row r="136" spans="2:3" ht="13.5" customHeight="1">
      <c r="B136" s="9" t="s">
        <v>105</v>
      </c>
      <c r="C136" s="10" t="s">
        <v>43</v>
      </c>
    </row>
    <row r="137" ht="13.5" customHeight="1">
      <c r="C137" s="4" t="str">
        <f>C119</f>
        <v>Debt Reserve</v>
      </c>
    </row>
    <row r="138" ht="13.5" customHeight="1">
      <c r="C138" s="4" t="str">
        <f>C120</f>
        <v>Treasury Fee</v>
      </c>
    </row>
    <row r="139" ht="13.5" customHeight="1" thickBot="1">
      <c r="C139" s="4" t="str">
        <f>C121</f>
        <v>Intercept</v>
      </c>
    </row>
    <row r="140" ht="13.5" customHeight="1" thickBot="1">
      <c r="C140" s="6" t="s">
        <v>44</v>
      </c>
    </row>
    <row r="141" ht="13.5" customHeight="1">
      <c r="C141" s="12"/>
    </row>
    <row r="142" spans="2:3" ht="13.5" customHeight="1">
      <c r="B142" s="9" t="s">
        <v>105</v>
      </c>
      <c r="C142" s="30" t="s">
        <v>45</v>
      </c>
    </row>
    <row r="143" ht="13.5" customHeight="1">
      <c r="C143" s="4" t="str">
        <f>C125</f>
        <v>Debt Reserve</v>
      </c>
    </row>
    <row r="144" ht="13.5" customHeight="1">
      <c r="C144" s="4" t="str">
        <f>C126</f>
        <v>Treasury Fee</v>
      </c>
    </row>
    <row r="145" ht="13.5" customHeight="1" thickBot="1">
      <c r="C145" s="4" t="str">
        <f>C127</f>
        <v>Intercept</v>
      </c>
    </row>
    <row r="146" ht="13.5" customHeight="1" thickBot="1">
      <c r="C146" s="6" t="s">
        <v>46</v>
      </c>
    </row>
    <row r="147" ht="13.5" customHeight="1">
      <c r="C147" s="12"/>
    </row>
    <row r="148" spans="2:3" ht="13.5" customHeight="1">
      <c r="B148" s="9" t="s">
        <v>105</v>
      </c>
      <c r="C148" s="30" t="s">
        <v>47</v>
      </c>
    </row>
    <row r="149" ht="13.5" customHeight="1">
      <c r="C149" s="4" t="str">
        <f>C131</f>
        <v>Debt Reserve</v>
      </c>
    </row>
    <row r="150" ht="13.5" customHeight="1">
      <c r="C150" s="4" t="str">
        <f>C132</f>
        <v>Treasury Fee</v>
      </c>
    </row>
    <row r="151" ht="13.5" customHeight="1" thickBot="1">
      <c r="C151" s="4" t="str">
        <f>C133</f>
        <v>Intercept</v>
      </c>
    </row>
    <row r="152" ht="13.5" customHeight="1" thickBot="1">
      <c r="C152" s="6" t="s">
        <v>48</v>
      </c>
    </row>
    <row r="153" ht="13.5" customHeight="1">
      <c r="C153" s="12"/>
    </row>
    <row r="154" spans="2:3" ht="13.5" customHeight="1">
      <c r="B154" s="9" t="s">
        <v>105</v>
      </c>
      <c r="C154" s="30" t="s">
        <v>49</v>
      </c>
    </row>
    <row r="155" ht="13.5" customHeight="1">
      <c r="C155" s="4" t="str">
        <f>C137</f>
        <v>Debt Reserve</v>
      </c>
    </row>
    <row r="156" ht="13.5" customHeight="1">
      <c r="C156" s="4" t="str">
        <f>C138</f>
        <v>Treasury Fee</v>
      </c>
    </row>
    <row r="157" ht="13.5" customHeight="1" thickBot="1">
      <c r="C157" s="4" t="str">
        <f>C139</f>
        <v>Intercept</v>
      </c>
    </row>
    <row r="158" ht="13.5" customHeight="1" thickBot="1">
      <c r="C158" s="6" t="s">
        <v>50</v>
      </c>
    </row>
    <row r="159" ht="13.5" customHeight="1">
      <c r="C159" s="12"/>
    </row>
    <row r="160" spans="2:3" ht="13.5" customHeight="1">
      <c r="B160" s="9" t="s">
        <v>105</v>
      </c>
      <c r="C160" s="10" t="s">
        <v>51</v>
      </c>
    </row>
    <row r="161" ht="13.5" customHeight="1">
      <c r="C161" s="4" t="str">
        <f>C143</f>
        <v>Debt Reserve</v>
      </c>
    </row>
    <row r="162" ht="13.5" customHeight="1">
      <c r="C162" s="4" t="str">
        <f>C144</f>
        <v>Treasury Fee</v>
      </c>
    </row>
    <row r="163" ht="13.5" customHeight="1" thickBot="1">
      <c r="C163" s="4" t="str">
        <f>C145</f>
        <v>Intercept</v>
      </c>
    </row>
    <row r="164" ht="13.5" customHeight="1" thickBot="1">
      <c r="C164" s="6" t="s">
        <v>52</v>
      </c>
    </row>
    <row r="165" ht="13.5" customHeight="1">
      <c r="C165" s="12"/>
    </row>
    <row r="166" spans="2:3" ht="13.5" customHeight="1">
      <c r="B166" s="9" t="s">
        <v>105</v>
      </c>
      <c r="C166" s="30" t="s">
        <v>55</v>
      </c>
    </row>
    <row r="167" ht="13.5" customHeight="1">
      <c r="C167" s="4" t="str">
        <f>C149</f>
        <v>Debt Reserve</v>
      </c>
    </row>
    <row r="168" ht="13.5" customHeight="1">
      <c r="C168" s="4" t="str">
        <f>C150</f>
        <v>Treasury Fee</v>
      </c>
    </row>
    <row r="169" ht="13.5" customHeight="1" thickBot="1">
      <c r="C169" s="4" t="str">
        <f>C151</f>
        <v>Intercept</v>
      </c>
    </row>
    <row r="170" ht="13.5" customHeight="1" thickBot="1">
      <c r="C170" s="6" t="s">
        <v>53</v>
      </c>
    </row>
    <row r="171" ht="13.5" customHeight="1">
      <c r="C171" s="12"/>
    </row>
    <row r="172" spans="2:3" ht="13.5" customHeight="1">
      <c r="B172" s="9" t="s">
        <v>105</v>
      </c>
      <c r="C172" s="30" t="s">
        <v>57</v>
      </c>
    </row>
    <row r="173" ht="13.5" customHeight="1">
      <c r="C173" s="4" t="str">
        <f>C155</f>
        <v>Debt Reserve</v>
      </c>
    </row>
    <row r="174" ht="13.5" customHeight="1">
      <c r="C174" s="4" t="str">
        <f>C156</f>
        <v>Treasury Fee</v>
      </c>
    </row>
    <row r="175" ht="13.5" customHeight="1" thickBot="1">
      <c r="C175" s="4" t="str">
        <f>C157</f>
        <v>Intercept</v>
      </c>
    </row>
    <row r="176" ht="13.5" customHeight="1" thickBot="1">
      <c r="C176" s="6" t="s">
        <v>58</v>
      </c>
    </row>
    <row r="177" ht="13.5" customHeight="1">
      <c r="C177" s="12"/>
    </row>
    <row r="178" spans="2:3" ht="13.5" customHeight="1">
      <c r="B178" s="9" t="s">
        <v>105</v>
      </c>
      <c r="C178" s="30" t="s">
        <v>59</v>
      </c>
    </row>
    <row r="179" ht="13.5" customHeight="1">
      <c r="C179" s="4" t="str">
        <f>C161</f>
        <v>Debt Reserve</v>
      </c>
    </row>
    <row r="180" ht="13.5" customHeight="1">
      <c r="C180" s="4" t="str">
        <f>C162</f>
        <v>Treasury Fee</v>
      </c>
    </row>
    <row r="181" ht="13.5" customHeight="1" thickBot="1">
      <c r="C181" s="4" t="str">
        <f>C163</f>
        <v>Intercept</v>
      </c>
    </row>
    <row r="182" ht="13.5" customHeight="1" thickBot="1">
      <c r="C182" s="6" t="s">
        <v>60</v>
      </c>
    </row>
    <row r="183" ht="13.5" customHeight="1">
      <c r="C183" s="12"/>
    </row>
    <row r="184" spans="2:3" ht="13.5" customHeight="1">
      <c r="B184" s="9" t="s">
        <v>105</v>
      </c>
      <c r="C184" s="30" t="s">
        <v>62</v>
      </c>
    </row>
    <row r="185" ht="13.5" customHeight="1">
      <c r="C185" s="4" t="str">
        <f>C167</f>
        <v>Debt Reserve</v>
      </c>
    </row>
    <row r="186" ht="13.5" customHeight="1">
      <c r="C186" s="4" t="str">
        <f>C168</f>
        <v>Treasury Fee</v>
      </c>
    </row>
    <row r="187" ht="13.5" customHeight="1" thickBot="1">
      <c r="C187" s="4" t="str">
        <f>C169</f>
        <v>Intercept</v>
      </c>
    </row>
    <row r="188" ht="13.5" customHeight="1" thickBot="1">
      <c r="C188" s="6" t="s">
        <v>63</v>
      </c>
    </row>
    <row r="189" ht="13.5" customHeight="1">
      <c r="C189" s="12"/>
    </row>
    <row r="190" spans="2:3" ht="13.5" customHeight="1">
      <c r="B190" s="9" t="s">
        <v>105</v>
      </c>
      <c r="C190" s="30" t="s">
        <v>64</v>
      </c>
    </row>
    <row r="191" ht="13.5" customHeight="1">
      <c r="C191" s="4" t="str">
        <f>C173</f>
        <v>Debt Reserve</v>
      </c>
    </row>
    <row r="192" ht="13.5" customHeight="1">
      <c r="C192" s="4" t="str">
        <f>C174</f>
        <v>Treasury Fee</v>
      </c>
    </row>
    <row r="193" ht="13.5" customHeight="1" thickBot="1">
      <c r="C193" s="4" t="str">
        <f>C175</f>
        <v>Intercept</v>
      </c>
    </row>
    <row r="194" ht="13.5" customHeight="1" thickBot="1">
      <c r="C194" s="6" t="s">
        <v>65</v>
      </c>
    </row>
    <row r="195" ht="13.5" customHeight="1">
      <c r="C195" s="12"/>
    </row>
    <row r="196" spans="2:3" ht="13.5" customHeight="1">
      <c r="B196" s="9" t="s">
        <v>105</v>
      </c>
      <c r="C196" s="30" t="s">
        <v>66</v>
      </c>
    </row>
    <row r="197" ht="13.5" customHeight="1">
      <c r="C197" s="4" t="str">
        <f>C179</f>
        <v>Debt Reserve</v>
      </c>
    </row>
    <row r="198" ht="13.5" customHeight="1">
      <c r="C198" s="4" t="str">
        <f>C180</f>
        <v>Treasury Fee</v>
      </c>
    </row>
    <row r="199" ht="13.5" customHeight="1" thickBot="1">
      <c r="C199" s="4" t="str">
        <f>C181</f>
        <v>Intercept</v>
      </c>
    </row>
    <row r="200" ht="13.5" customHeight="1" thickBot="1">
      <c r="C200" s="6" t="s">
        <v>67</v>
      </c>
    </row>
    <row r="201" ht="13.5" customHeight="1">
      <c r="C201" s="12"/>
    </row>
    <row r="202" spans="2:3" ht="13.5" customHeight="1">
      <c r="B202" s="9" t="s">
        <v>105</v>
      </c>
      <c r="C202" s="30" t="s">
        <v>134</v>
      </c>
    </row>
    <row r="203" ht="13.5" customHeight="1">
      <c r="C203" s="4" t="str">
        <f>C185</f>
        <v>Debt Reserve</v>
      </c>
    </row>
    <row r="204" ht="13.5" customHeight="1">
      <c r="C204" s="4" t="str">
        <f>C186</f>
        <v>Treasury Fee</v>
      </c>
    </row>
    <row r="205" ht="13.5" customHeight="1" thickBot="1">
      <c r="C205" s="4" t="str">
        <f>C187</f>
        <v>Intercept</v>
      </c>
    </row>
    <row r="206" ht="13.5" customHeight="1" thickBot="1">
      <c r="C206" s="6" t="s">
        <v>68</v>
      </c>
    </row>
    <row r="207" ht="13.5" customHeight="1">
      <c r="C207" s="12"/>
    </row>
    <row r="208" spans="1:3" ht="13.5" customHeight="1">
      <c r="A208" s="1">
        <f>A82+1</f>
        <v>3</v>
      </c>
      <c r="C208" s="5" t="s">
        <v>69</v>
      </c>
    </row>
    <row r="209" spans="3:16" ht="13.5" customHeight="1">
      <c r="C209" s="4" t="str">
        <f>C191</f>
        <v>Debt Reserve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39">
        <v>0</v>
      </c>
      <c r="P209" s="26">
        <f>SUM(D209:O209)</f>
        <v>0</v>
      </c>
    </row>
    <row r="210" spans="3:16" ht="13.5" customHeight="1">
      <c r="C210" s="4" t="str">
        <f>C192</f>
        <v>Treasury Fee</v>
      </c>
      <c r="D210" s="47">
        <v>250</v>
      </c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55"/>
      <c r="P210" s="26">
        <f>SUM(D210:O210)</f>
        <v>250</v>
      </c>
    </row>
    <row r="211" spans="3:16" ht="13.5" customHeight="1" thickBot="1">
      <c r="C211" s="4" t="str">
        <f>C193</f>
        <v>Intercept</v>
      </c>
      <c r="D211" s="26">
        <f aca="true" t="shared" si="5" ref="D211:M211">16666.67+26925.42</f>
        <v>43592.09</v>
      </c>
      <c r="E211" s="26">
        <f t="shared" si="5"/>
        <v>43592.09</v>
      </c>
      <c r="F211" s="26">
        <f t="shared" si="5"/>
        <v>43592.09</v>
      </c>
      <c r="G211" s="26">
        <f t="shared" si="5"/>
        <v>43592.09</v>
      </c>
      <c r="H211" s="26">
        <f t="shared" si="5"/>
        <v>43592.09</v>
      </c>
      <c r="I211" s="26">
        <f t="shared" si="5"/>
        <v>43592.09</v>
      </c>
      <c r="J211" s="26">
        <f t="shared" si="5"/>
        <v>43592.09</v>
      </c>
      <c r="K211" s="26">
        <f t="shared" si="5"/>
        <v>43592.09</v>
      </c>
      <c r="L211" s="26">
        <f t="shared" si="5"/>
        <v>43592.09</v>
      </c>
      <c r="M211" s="26">
        <f t="shared" si="5"/>
        <v>43592.09</v>
      </c>
      <c r="N211" s="47">
        <f>17500+26025.42</f>
        <v>43525.42</v>
      </c>
      <c r="O211" s="55">
        <f>17500+26025.42</f>
        <v>43525.42</v>
      </c>
      <c r="P211" s="26">
        <f>SUM(D211:O211)</f>
        <v>522971.7399999999</v>
      </c>
    </row>
    <row r="212" spans="3:16" ht="13.5" customHeight="1" thickBot="1">
      <c r="C212" s="6" t="s">
        <v>20</v>
      </c>
      <c r="D212" s="27">
        <f aca="true" t="shared" si="6" ref="D212:P212">SUM(D209:D211)</f>
        <v>43842.09</v>
      </c>
      <c r="E212" s="27">
        <f t="shared" si="6"/>
        <v>43592.09</v>
      </c>
      <c r="F212" s="27">
        <f t="shared" si="6"/>
        <v>43592.09</v>
      </c>
      <c r="G212" s="27">
        <f t="shared" si="6"/>
        <v>43592.09</v>
      </c>
      <c r="H212" s="27">
        <f t="shared" si="6"/>
        <v>43592.09</v>
      </c>
      <c r="I212" s="27">
        <f t="shared" si="6"/>
        <v>43592.09</v>
      </c>
      <c r="J212" s="27">
        <f t="shared" si="6"/>
        <v>43592.09</v>
      </c>
      <c r="K212" s="27">
        <f t="shared" si="6"/>
        <v>43592.09</v>
      </c>
      <c r="L212" s="27">
        <f t="shared" si="6"/>
        <v>43592.09</v>
      </c>
      <c r="M212" s="27">
        <f t="shared" si="6"/>
        <v>43592.09</v>
      </c>
      <c r="N212" s="27">
        <f t="shared" si="6"/>
        <v>43525.42</v>
      </c>
      <c r="O212" s="40">
        <f t="shared" si="6"/>
        <v>43525.42</v>
      </c>
      <c r="P212" s="27">
        <f t="shared" si="6"/>
        <v>523221.7399999999</v>
      </c>
    </row>
    <row r="213" ht="13.5" customHeight="1">
      <c r="C213" s="12"/>
    </row>
    <row r="214" spans="2:3" ht="13.5" customHeight="1">
      <c r="B214" s="9" t="s">
        <v>105</v>
      </c>
      <c r="C214" s="30" t="s">
        <v>70</v>
      </c>
    </row>
    <row r="215" ht="13.5" customHeight="1">
      <c r="C215" s="4" t="str">
        <f>C197</f>
        <v>Debt Reserve</v>
      </c>
    </row>
    <row r="216" ht="13.5" customHeight="1">
      <c r="C216" s="4" t="str">
        <f>C198</f>
        <v>Treasury Fee</v>
      </c>
    </row>
    <row r="217" ht="13.5" customHeight="1" thickBot="1">
      <c r="C217" s="4" t="str">
        <f>C199</f>
        <v>Intercept</v>
      </c>
    </row>
    <row r="218" ht="13.5" customHeight="1" thickBot="1">
      <c r="C218" s="6" t="s">
        <v>71</v>
      </c>
    </row>
    <row r="219" ht="13.5" customHeight="1">
      <c r="C219" s="12"/>
    </row>
    <row r="220" spans="1:3" ht="13.5" customHeight="1">
      <c r="A220" s="1">
        <f>A208+1</f>
        <v>4</v>
      </c>
      <c r="C220" s="5" t="s">
        <v>72</v>
      </c>
    </row>
    <row r="221" spans="3:16" ht="13.5" customHeight="1">
      <c r="C221" s="4" t="str">
        <f>C203</f>
        <v>Debt Reserve</v>
      </c>
      <c r="D221" s="26">
        <v>339.45</v>
      </c>
      <c r="E221" s="26">
        <v>339.45</v>
      </c>
      <c r="F221" s="26">
        <v>339.45</v>
      </c>
      <c r="G221" s="26">
        <v>339.45</v>
      </c>
      <c r="H221" s="26">
        <v>339.45</v>
      </c>
      <c r="I221" s="26">
        <v>339.45</v>
      </c>
      <c r="J221" s="47">
        <v>326.55</v>
      </c>
      <c r="K221" s="47">
        <v>326.55</v>
      </c>
      <c r="L221" s="47">
        <v>326.55</v>
      </c>
      <c r="M221" s="47">
        <v>326.55</v>
      </c>
      <c r="N221" s="47">
        <v>326.55</v>
      </c>
      <c r="O221" s="55">
        <v>326.55</v>
      </c>
      <c r="P221" s="26">
        <f>SUM(D221:O221)</f>
        <v>3996.000000000001</v>
      </c>
    </row>
    <row r="222" spans="3:16" ht="13.5" customHeight="1">
      <c r="C222" s="4" t="str">
        <f>C204</f>
        <v>Treasury Fee</v>
      </c>
      <c r="D222" s="47">
        <v>250</v>
      </c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55"/>
      <c r="P222" s="26">
        <f>SUM(D222:O222)</f>
        <v>250</v>
      </c>
    </row>
    <row r="223" spans="3:16" ht="13.5" customHeight="1" thickBot="1">
      <c r="C223" s="4" t="str">
        <f>C205</f>
        <v>Intercept</v>
      </c>
      <c r="D223" s="26">
        <f>12916.67+14651.88</f>
        <v>27568.55</v>
      </c>
      <c r="E223" s="26">
        <f>12916.67+14651.88</f>
        <v>27568.55</v>
      </c>
      <c r="F223" s="26">
        <f>12916.67+14651.88</f>
        <v>27568.55</v>
      </c>
      <c r="G223" s="26">
        <f>12916.67+14651.88</f>
        <v>27568.55</v>
      </c>
      <c r="H223" s="26">
        <f>12916.67+14651.88</f>
        <v>27568.55</v>
      </c>
      <c r="I223" s="47">
        <f>13333.33+14135.21</f>
        <v>27468.54</v>
      </c>
      <c r="J223" s="47">
        <f aca="true" t="shared" si="7" ref="J223:P223">13333.33+14135.21</f>
        <v>27468.54</v>
      </c>
      <c r="K223" s="47">
        <f t="shared" si="7"/>
        <v>27468.54</v>
      </c>
      <c r="L223" s="47">
        <f t="shared" si="7"/>
        <v>27468.54</v>
      </c>
      <c r="M223" s="47">
        <f t="shared" si="7"/>
        <v>27468.54</v>
      </c>
      <c r="N223" s="47">
        <f t="shared" si="7"/>
        <v>27468.54</v>
      </c>
      <c r="O223" s="55">
        <f t="shared" si="7"/>
        <v>27468.54</v>
      </c>
      <c r="P223" s="26">
        <f>SUM(D223:O223)</f>
        <v>330122.52999999997</v>
      </c>
    </row>
    <row r="224" spans="3:16" ht="13.5" customHeight="1" thickBot="1">
      <c r="C224" s="6" t="s">
        <v>73</v>
      </c>
      <c r="D224" s="27">
        <f aca="true" t="shared" si="8" ref="D224:P224">SUM(D221:D223)</f>
        <v>28158</v>
      </c>
      <c r="E224" s="27">
        <f t="shared" si="8"/>
        <v>27908</v>
      </c>
      <c r="F224" s="27">
        <f t="shared" si="8"/>
        <v>27908</v>
      </c>
      <c r="G224" s="27">
        <f t="shared" si="8"/>
        <v>27908</v>
      </c>
      <c r="H224" s="27">
        <f t="shared" si="8"/>
        <v>27908</v>
      </c>
      <c r="I224" s="27">
        <f t="shared" si="8"/>
        <v>27807.99</v>
      </c>
      <c r="J224" s="27">
        <f t="shared" si="8"/>
        <v>27795.09</v>
      </c>
      <c r="K224" s="27">
        <f t="shared" si="8"/>
        <v>27795.09</v>
      </c>
      <c r="L224" s="27">
        <f t="shared" si="8"/>
        <v>27795.09</v>
      </c>
      <c r="M224" s="27">
        <f t="shared" si="8"/>
        <v>27795.09</v>
      </c>
      <c r="N224" s="27">
        <f t="shared" si="8"/>
        <v>27795.09</v>
      </c>
      <c r="O224" s="40">
        <f t="shared" si="8"/>
        <v>27795.09</v>
      </c>
      <c r="P224" s="27">
        <f t="shared" si="8"/>
        <v>334368.52999999997</v>
      </c>
    </row>
    <row r="225" ht="13.5" customHeight="1">
      <c r="C225" s="12"/>
    </row>
    <row r="226" spans="2:3" ht="13.5" customHeight="1">
      <c r="B226" s="9" t="s">
        <v>105</v>
      </c>
      <c r="C226" s="44" t="s">
        <v>74</v>
      </c>
    </row>
    <row r="227" ht="13.5" customHeight="1">
      <c r="C227" s="4" t="str">
        <f>C209</f>
        <v>Debt Reserve</v>
      </c>
    </row>
    <row r="228" ht="13.5" customHeight="1">
      <c r="C228" s="4" t="str">
        <f>C210</f>
        <v>Treasury Fee</v>
      </c>
    </row>
    <row r="229" ht="13.5" customHeight="1" thickBot="1">
      <c r="C229" s="4" t="str">
        <f>C211</f>
        <v>Intercept</v>
      </c>
    </row>
    <row r="230" ht="13.5" customHeight="1" thickBot="1">
      <c r="C230" s="14" t="s">
        <v>75</v>
      </c>
    </row>
    <row r="231" ht="13.5" customHeight="1">
      <c r="C231" s="12"/>
    </row>
    <row r="232" spans="1:3" ht="13.5" customHeight="1">
      <c r="A232" s="1">
        <f>A220+1</f>
        <v>5</v>
      </c>
      <c r="C232" s="13" t="s">
        <v>76</v>
      </c>
    </row>
    <row r="233" spans="3:16" ht="13.5" customHeight="1">
      <c r="C233" s="4" t="str">
        <f>C221</f>
        <v>Debt Reserve</v>
      </c>
      <c r="D233" s="26">
        <v>1046.25</v>
      </c>
      <c r="E233" s="26">
        <v>1046.25</v>
      </c>
      <c r="F233" s="26">
        <v>1046.25</v>
      </c>
      <c r="G233" s="26">
        <v>1046.25</v>
      </c>
      <c r="H233" s="26">
        <v>1046.25</v>
      </c>
      <c r="I233" s="26">
        <v>1046.25</v>
      </c>
      <c r="J233" s="26">
        <v>1046.25</v>
      </c>
      <c r="K233" s="26">
        <v>1046.25</v>
      </c>
      <c r="L233" s="26">
        <v>1046.25</v>
      </c>
      <c r="M233" s="47">
        <v>1012.5</v>
      </c>
      <c r="N233" s="47">
        <v>1012.5</v>
      </c>
      <c r="O233" s="55">
        <v>1012.5</v>
      </c>
      <c r="P233" s="26">
        <f>SUM(D233:O233)</f>
        <v>12453.75</v>
      </c>
    </row>
    <row r="234" spans="3:16" ht="13.5" customHeight="1">
      <c r="C234" s="4" t="str">
        <f>C222</f>
        <v>Treasury Fee</v>
      </c>
      <c r="D234" s="47">
        <v>250</v>
      </c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55"/>
      <c r="P234" s="26">
        <f>SUM(D234:O234)</f>
        <v>250</v>
      </c>
    </row>
    <row r="235" spans="3:16" ht="13.5" customHeight="1" thickBot="1">
      <c r="C235" s="4" t="str">
        <f>C223</f>
        <v>Intercept</v>
      </c>
      <c r="D235" s="26">
        <f>33750+46006.25</f>
        <v>79756.25</v>
      </c>
      <c r="E235" s="47">
        <f>35416.67+44656.25</f>
        <v>80072.92</v>
      </c>
      <c r="F235" s="47">
        <f aca="true" t="shared" si="9" ref="F235:P235">35416.67+44656.25</f>
        <v>80072.92</v>
      </c>
      <c r="G235" s="47">
        <f t="shared" si="9"/>
        <v>80072.92</v>
      </c>
      <c r="H235" s="47">
        <f t="shared" si="9"/>
        <v>80072.92</v>
      </c>
      <c r="I235" s="47">
        <f t="shared" si="9"/>
        <v>80072.92</v>
      </c>
      <c r="J235" s="47">
        <f t="shared" si="9"/>
        <v>80072.92</v>
      </c>
      <c r="K235" s="47">
        <f t="shared" si="9"/>
        <v>80072.92</v>
      </c>
      <c r="L235" s="47">
        <f t="shared" si="9"/>
        <v>80072.92</v>
      </c>
      <c r="M235" s="47">
        <f t="shared" si="9"/>
        <v>80072.92</v>
      </c>
      <c r="N235" s="47">
        <f t="shared" si="9"/>
        <v>80072.92</v>
      </c>
      <c r="O235" s="55">
        <f t="shared" si="9"/>
        <v>80072.92</v>
      </c>
      <c r="P235" s="26">
        <f>SUM(D235:O235)</f>
        <v>960558.3700000001</v>
      </c>
    </row>
    <row r="236" spans="3:16" ht="13.5" customHeight="1" thickBot="1">
      <c r="C236" s="14" t="s">
        <v>77</v>
      </c>
      <c r="D236" s="27">
        <f aca="true" t="shared" si="10" ref="D236:P236">SUM(D233:D235)</f>
        <v>81052.5</v>
      </c>
      <c r="E236" s="27">
        <f t="shared" si="10"/>
        <v>81119.17</v>
      </c>
      <c r="F236" s="27">
        <f t="shared" si="10"/>
        <v>81119.17</v>
      </c>
      <c r="G236" s="27">
        <f t="shared" si="10"/>
        <v>81119.17</v>
      </c>
      <c r="H236" s="27">
        <f t="shared" si="10"/>
        <v>81119.17</v>
      </c>
      <c r="I236" s="27">
        <f t="shared" si="10"/>
        <v>81119.17</v>
      </c>
      <c r="J236" s="27">
        <f t="shared" si="10"/>
        <v>81119.17</v>
      </c>
      <c r="K236" s="27">
        <f t="shared" si="10"/>
        <v>81119.17</v>
      </c>
      <c r="L236" s="27">
        <f t="shared" si="10"/>
        <v>81119.17</v>
      </c>
      <c r="M236" s="27">
        <f t="shared" si="10"/>
        <v>81085.42</v>
      </c>
      <c r="N236" s="27">
        <f t="shared" si="10"/>
        <v>81085.42</v>
      </c>
      <c r="O236" s="40">
        <f t="shared" si="10"/>
        <v>81085.42</v>
      </c>
      <c r="P236" s="27">
        <f t="shared" si="10"/>
        <v>973262.1200000001</v>
      </c>
    </row>
    <row r="237" ht="13.5" customHeight="1">
      <c r="C237" s="12"/>
    </row>
    <row r="238" spans="1:3" ht="13.5" customHeight="1">
      <c r="A238" s="1">
        <f>A232+1</f>
        <v>6</v>
      </c>
      <c r="C238" s="13" t="s">
        <v>78</v>
      </c>
    </row>
    <row r="239" spans="3:16" ht="13.5" customHeight="1">
      <c r="C239" s="4" t="str">
        <f>C227</f>
        <v>Debt Reserve</v>
      </c>
      <c r="D239" s="26">
        <v>594.17</v>
      </c>
      <c r="E239" s="26">
        <v>594.17</v>
      </c>
      <c r="F239" s="26">
        <v>594.17</v>
      </c>
      <c r="G239" s="26">
        <v>594.17</v>
      </c>
      <c r="H239" s="26">
        <v>594.17</v>
      </c>
      <c r="I239" s="26">
        <v>594.17</v>
      </c>
      <c r="J239" s="26">
        <v>594.17</v>
      </c>
      <c r="K239" s="26">
        <v>594.17</v>
      </c>
      <c r="L239" s="26">
        <v>594.17</v>
      </c>
      <c r="M239" s="26">
        <v>594.17</v>
      </c>
      <c r="N239" s="26">
        <v>594.17</v>
      </c>
      <c r="O239" s="55">
        <v>573.75</v>
      </c>
      <c r="P239" s="26">
        <f>SUM(D239:O239)</f>
        <v>7109.62</v>
      </c>
    </row>
    <row r="240" spans="3:16" ht="13.5" customHeight="1">
      <c r="C240" s="4" t="str">
        <f>C228</f>
        <v>Treasury Fee</v>
      </c>
      <c r="D240" s="47">
        <v>250</v>
      </c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55"/>
      <c r="P240" s="26">
        <f>SUM(D240:O240)</f>
        <v>250</v>
      </c>
    </row>
    <row r="241" spans="3:16" ht="13.5" customHeight="1" thickBot="1">
      <c r="C241" s="4" t="str">
        <f>C229</f>
        <v>Intercept</v>
      </c>
      <c r="D241" s="26">
        <f aca="true" t="shared" si="11" ref="D241:K241">20416.67+27048.86</f>
        <v>47465.53</v>
      </c>
      <c r="E241" s="26">
        <f t="shared" si="11"/>
        <v>47465.53</v>
      </c>
      <c r="F241" s="26">
        <f t="shared" si="11"/>
        <v>47465.53</v>
      </c>
      <c r="G241" s="26">
        <f t="shared" si="11"/>
        <v>47465.53</v>
      </c>
      <c r="H241" s="26">
        <f t="shared" si="11"/>
        <v>47465.53</v>
      </c>
      <c r="I241" s="26">
        <f t="shared" si="11"/>
        <v>47465.53</v>
      </c>
      <c r="J241" s="26">
        <f t="shared" si="11"/>
        <v>47465.53</v>
      </c>
      <c r="K241" s="26">
        <f t="shared" si="11"/>
        <v>47465.53</v>
      </c>
      <c r="L241" s="47">
        <f>21250+26191.36</f>
        <v>47441.36</v>
      </c>
      <c r="M241" s="47">
        <f>21250+26191.36</f>
        <v>47441.36</v>
      </c>
      <c r="N241" s="47">
        <f>21250+26191.36</f>
        <v>47441.36</v>
      </c>
      <c r="O241" s="55">
        <f>21250+26191.36</f>
        <v>47441.36</v>
      </c>
      <c r="P241" s="26">
        <f>SUM(D241:O241)</f>
        <v>569489.6799999999</v>
      </c>
    </row>
    <row r="242" spans="3:16" ht="13.5" customHeight="1" thickBot="1">
      <c r="C242" s="14" t="s">
        <v>79</v>
      </c>
      <c r="D242" s="27">
        <f aca="true" t="shared" si="12" ref="D242:P242">SUM(D239:D241)</f>
        <v>48309.7</v>
      </c>
      <c r="E242" s="27">
        <f t="shared" si="12"/>
        <v>48059.7</v>
      </c>
      <c r="F242" s="27">
        <f t="shared" si="12"/>
        <v>48059.7</v>
      </c>
      <c r="G242" s="27">
        <f t="shared" si="12"/>
        <v>48059.7</v>
      </c>
      <c r="H242" s="27">
        <f t="shared" si="12"/>
        <v>48059.7</v>
      </c>
      <c r="I242" s="27">
        <f t="shared" si="12"/>
        <v>48059.7</v>
      </c>
      <c r="J242" s="27">
        <f t="shared" si="12"/>
        <v>48059.7</v>
      </c>
      <c r="K242" s="27">
        <f t="shared" si="12"/>
        <v>48059.7</v>
      </c>
      <c r="L242" s="27">
        <f t="shared" si="12"/>
        <v>48035.53</v>
      </c>
      <c r="M242" s="27">
        <f t="shared" si="12"/>
        <v>48035.53</v>
      </c>
      <c r="N242" s="27">
        <f t="shared" si="12"/>
        <v>48035.53</v>
      </c>
      <c r="O242" s="40">
        <f t="shared" si="12"/>
        <v>48015.11</v>
      </c>
      <c r="P242" s="27">
        <f t="shared" si="12"/>
        <v>576849.2999999999</v>
      </c>
    </row>
    <row r="243" ht="13.5" customHeight="1">
      <c r="C243" s="12"/>
    </row>
    <row r="244" spans="2:3" ht="13.5" customHeight="1">
      <c r="B244" s="9" t="s">
        <v>105</v>
      </c>
      <c r="C244" s="44" t="s">
        <v>80</v>
      </c>
    </row>
    <row r="245" ht="13.5" customHeight="1">
      <c r="C245" s="4" t="str">
        <f>C239</f>
        <v>Debt Reserve</v>
      </c>
    </row>
    <row r="246" ht="13.5" customHeight="1">
      <c r="C246" s="4" t="str">
        <f>C240</f>
        <v>Treasury Fee</v>
      </c>
    </row>
    <row r="247" ht="13.5" customHeight="1" thickBot="1">
      <c r="C247" s="4" t="str">
        <f>C241</f>
        <v>Intercept</v>
      </c>
    </row>
    <row r="248" ht="13.5" customHeight="1" thickBot="1">
      <c r="C248" s="6" t="s">
        <v>30</v>
      </c>
    </row>
    <row r="249" ht="13.5" customHeight="1">
      <c r="C249" s="12"/>
    </row>
    <row r="250" spans="2:3" ht="13.5" customHeight="1">
      <c r="B250" s="9" t="s">
        <v>105</v>
      </c>
      <c r="C250" s="44" t="s">
        <v>81</v>
      </c>
    </row>
    <row r="251" ht="13.5" customHeight="1">
      <c r="C251" s="4" t="str">
        <f>C245</f>
        <v>Debt Reserve</v>
      </c>
    </row>
    <row r="252" ht="13.5" customHeight="1">
      <c r="C252" s="4" t="str">
        <f>C246</f>
        <v>Treasury Fee</v>
      </c>
    </row>
    <row r="253" ht="13.5" customHeight="1" thickBot="1">
      <c r="C253" s="4" t="str">
        <f>C247</f>
        <v>Intercept</v>
      </c>
    </row>
    <row r="254" ht="13.5" customHeight="1" thickBot="1">
      <c r="C254" s="6" t="s">
        <v>32</v>
      </c>
    </row>
    <row r="255" ht="13.5" customHeight="1">
      <c r="C255" s="12"/>
    </row>
    <row r="256" spans="2:3" ht="13.5" customHeight="1">
      <c r="B256" s="9" t="s">
        <v>105</v>
      </c>
      <c r="C256" s="44" t="s">
        <v>82</v>
      </c>
    </row>
    <row r="257" ht="13.5" customHeight="1">
      <c r="C257" s="4" t="str">
        <f>C251</f>
        <v>Debt Reserve</v>
      </c>
    </row>
    <row r="258" ht="13.5" customHeight="1">
      <c r="C258" s="4" t="str">
        <f>C252</f>
        <v>Treasury Fee</v>
      </c>
    </row>
    <row r="259" ht="13.5" customHeight="1" thickBot="1">
      <c r="C259" s="4" t="str">
        <f>C253</f>
        <v>Intercept</v>
      </c>
    </row>
    <row r="260" ht="13.5" customHeight="1" thickBot="1">
      <c r="C260" s="14" t="s">
        <v>83</v>
      </c>
    </row>
    <row r="261" ht="13.5" customHeight="1">
      <c r="C261" s="15"/>
    </row>
    <row r="262" spans="1:3" ht="13.5" customHeight="1">
      <c r="A262" s="16"/>
      <c r="B262" s="7" t="s">
        <v>104</v>
      </c>
      <c r="C262" s="35" t="s">
        <v>85</v>
      </c>
    </row>
    <row r="263" ht="13.5" customHeight="1">
      <c r="C263" s="4" t="str">
        <f>C257</f>
        <v>Debt Reserve</v>
      </c>
    </row>
    <row r="264" ht="13.5" customHeight="1">
      <c r="C264" s="4" t="str">
        <f>C258</f>
        <v>Treasury Fee</v>
      </c>
    </row>
    <row r="265" ht="13.5" customHeight="1" thickBot="1">
      <c r="C265" s="4" t="str">
        <f>C259</f>
        <v>Intercept</v>
      </c>
    </row>
    <row r="266" ht="13.5" customHeight="1" thickBot="1">
      <c r="C266" s="14" t="s">
        <v>86</v>
      </c>
    </row>
    <row r="267" ht="13.5" customHeight="1">
      <c r="C267" s="15"/>
    </row>
    <row r="268" spans="1:3" ht="13.5" customHeight="1">
      <c r="A268" s="16"/>
      <c r="B268" s="9" t="s">
        <v>105</v>
      </c>
      <c r="C268" s="44" t="s">
        <v>88</v>
      </c>
    </row>
    <row r="269" ht="13.5" customHeight="1">
      <c r="C269" s="4" t="str">
        <f>C263</f>
        <v>Debt Reserve</v>
      </c>
    </row>
    <row r="270" ht="13.5" customHeight="1">
      <c r="C270" s="4" t="str">
        <f>C264</f>
        <v>Treasury Fee</v>
      </c>
    </row>
    <row r="271" ht="13.5" customHeight="1" thickBot="1">
      <c r="C271" s="4" t="str">
        <f>C265</f>
        <v>Intercept</v>
      </c>
    </row>
    <row r="272" ht="13.5" customHeight="1" thickBot="1">
      <c r="C272" s="14" t="s">
        <v>89</v>
      </c>
    </row>
    <row r="273" ht="13.5" customHeight="1">
      <c r="C273" s="15"/>
    </row>
    <row r="274" spans="1:3" ht="13.5" customHeight="1">
      <c r="A274" s="16">
        <f>+A238+1</f>
        <v>7</v>
      </c>
      <c r="C274" s="13" t="s">
        <v>90</v>
      </c>
    </row>
    <row r="275" spans="3:16" ht="13.5" customHeight="1">
      <c r="C275" s="4" t="str">
        <f>C269</f>
        <v>Debt Reserve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39">
        <v>0</v>
      </c>
      <c r="P275" s="26">
        <f>SUM(D275:O275)</f>
        <v>0</v>
      </c>
    </row>
    <row r="276" spans="3:16" ht="13.5" customHeight="1">
      <c r="C276" s="4" t="str">
        <f>C270</f>
        <v>Treasury Fee</v>
      </c>
      <c r="D276" s="47">
        <v>250</v>
      </c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55"/>
      <c r="P276" s="26">
        <f>SUM(D276:O276)</f>
        <v>250</v>
      </c>
    </row>
    <row r="277" spans="3:16" ht="13.5" customHeight="1" thickBot="1">
      <c r="C277" s="4" t="str">
        <f>C271</f>
        <v>Intercept</v>
      </c>
      <c r="D277" s="26">
        <f aca="true" t="shared" si="13" ref="D277:M277">3333.33+10750</f>
        <v>14083.33</v>
      </c>
      <c r="E277" s="26">
        <f t="shared" si="13"/>
        <v>14083.33</v>
      </c>
      <c r="F277" s="26">
        <f t="shared" si="13"/>
        <v>14083.33</v>
      </c>
      <c r="G277" s="26">
        <f t="shared" si="13"/>
        <v>14083.33</v>
      </c>
      <c r="H277" s="26">
        <f t="shared" si="13"/>
        <v>14083.33</v>
      </c>
      <c r="I277" s="26">
        <f t="shared" si="13"/>
        <v>14083.33</v>
      </c>
      <c r="J277" s="26">
        <f t="shared" si="13"/>
        <v>14083.33</v>
      </c>
      <c r="K277" s="26">
        <f t="shared" si="13"/>
        <v>14083.33</v>
      </c>
      <c r="L277" s="26">
        <f t="shared" si="13"/>
        <v>14083.33</v>
      </c>
      <c r="M277" s="26">
        <f t="shared" si="13"/>
        <v>14083.33</v>
      </c>
      <c r="N277" s="47">
        <f>3750+10500</f>
        <v>14250</v>
      </c>
      <c r="O277" s="55">
        <f>3750+10500</f>
        <v>14250</v>
      </c>
      <c r="P277" s="26">
        <f>SUM(D277:O277)</f>
        <v>169333.3</v>
      </c>
    </row>
    <row r="278" spans="3:16" ht="13.5" customHeight="1" thickBot="1">
      <c r="C278" s="14" t="s">
        <v>91</v>
      </c>
      <c r="D278" s="27">
        <f aca="true" t="shared" si="14" ref="D278:P278">SUM(D275:D277)</f>
        <v>14333.33</v>
      </c>
      <c r="E278" s="27">
        <f t="shared" si="14"/>
        <v>14083.33</v>
      </c>
      <c r="F278" s="27">
        <f t="shared" si="14"/>
        <v>14083.33</v>
      </c>
      <c r="G278" s="27">
        <f t="shared" si="14"/>
        <v>14083.33</v>
      </c>
      <c r="H278" s="27">
        <f t="shared" si="14"/>
        <v>14083.33</v>
      </c>
      <c r="I278" s="27">
        <f t="shared" si="14"/>
        <v>14083.33</v>
      </c>
      <c r="J278" s="27">
        <f t="shared" si="14"/>
        <v>14083.33</v>
      </c>
      <c r="K278" s="27">
        <f t="shared" si="14"/>
        <v>14083.33</v>
      </c>
      <c r="L278" s="27">
        <f t="shared" si="14"/>
        <v>14083.33</v>
      </c>
      <c r="M278" s="27">
        <f t="shared" si="14"/>
        <v>14083.33</v>
      </c>
      <c r="N278" s="27">
        <f t="shared" si="14"/>
        <v>14250</v>
      </c>
      <c r="O278" s="40">
        <f t="shared" si="14"/>
        <v>14250</v>
      </c>
      <c r="P278" s="27">
        <f t="shared" si="14"/>
        <v>169583.3</v>
      </c>
    </row>
    <row r="279" ht="13.5" customHeight="1">
      <c r="C279" s="15"/>
    </row>
    <row r="280" spans="1:3" ht="13.5" customHeight="1">
      <c r="A280" s="16"/>
      <c r="B280" s="9" t="s">
        <v>105</v>
      </c>
      <c r="C280" s="44" t="s">
        <v>92</v>
      </c>
    </row>
    <row r="281" ht="13.5" customHeight="1">
      <c r="C281" s="4" t="str">
        <f>C275</f>
        <v>Debt Reserve</v>
      </c>
    </row>
    <row r="282" ht="13.5" customHeight="1">
      <c r="C282" s="4" t="str">
        <f>C276</f>
        <v>Treasury Fee</v>
      </c>
    </row>
    <row r="283" ht="13.5" customHeight="1" thickBot="1">
      <c r="C283" s="4" t="str">
        <f>C277</f>
        <v>Intercept</v>
      </c>
    </row>
    <row r="284" ht="13.5" customHeight="1" thickBot="1">
      <c r="C284" s="14" t="s">
        <v>93</v>
      </c>
    </row>
    <row r="285" ht="13.5" customHeight="1">
      <c r="C285" s="15"/>
    </row>
    <row r="286" spans="1:3" ht="13.5" customHeight="1">
      <c r="A286" s="16"/>
      <c r="B286" s="42" t="s">
        <v>105</v>
      </c>
      <c r="C286" s="44" t="s">
        <v>158</v>
      </c>
    </row>
    <row r="287" ht="13.5" customHeight="1">
      <c r="C287" s="4" t="str">
        <f>C281</f>
        <v>Debt Reserve</v>
      </c>
    </row>
    <row r="288" ht="13.5" customHeight="1">
      <c r="C288" s="4" t="str">
        <f>C282</f>
        <v>Treasury Fee</v>
      </c>
    </row>
    <row r="289" ht="13.5" customHeight="1" thickBot="1">
      <c r="C289" s="4" t="str">
        <f>C283</f>
        <v>Intercept</v>
      </c>
    </row>
    <row r="290" ht="13.5" customHeight="1" thickBot="1">
      <c r="C290" s="14" t="s">
        <v>94</v>
      </c>
    </row>
    <row r="291" ht="13.5" customHeight="1">
      <c r="C291" s="15"/>
    </row>
    <row r="292" spans="1:3" ht="13.5" customHeight="1">
      <c r="A292" s="16"/>
      <c r="B292" s="9" t="s">
        <v>105</v>
      </c>
      <c r="C292" s="44" t="s">
        <v>95</v>
      </c>
    </row>
    <row r="293" ht="13.5" customHeight="1">
      <c r="C293" s="4" t="str">
        <f>C287</f>
        <v>Debt Reserve</v>
      </c>
    </row>
    <row r="294" ht="13.5" customHeight="1">
      <c r="C294" s="4" t="str">
        <f>C288</f>
        <v>Treasury Fee</v>
      </c>
    </row>
    <row r="295" ht="13.5" customHeight="1" thickBot="1">
      <c r="C295" s="4" t="str">
        <f>C289</f>
        <v>Intercept</v>
      </c>
    </row>
    <row r="296" ht="13.5" customHeight="1" thickBot="1">
      <c r="C296" s="14" t="s">
        <v>96</v>
      </c>
    </row>
    <row r="297" ht="13.5" customHeight="1">
      <c r="C297" s="15"/>
    </row>
    <row r="298" spans="1:3" ht="13.5" customHeight="1">
      <c r="A298" s="16"/>
      <c r="B298" s="18" t="s">
        <v>104</v>
      </c>
      <c r="C298" s="19" t="s">
        <v>97</v>
      </c>
    </row>
    <row r="299" ht="13.5" customHeight="1">
      <c r="C299" s="4" t="str">
        <f>C293</f>
        <v>Debt Reserve</v>
      </c>
    </row>
    <row r="300" ht="13.5" customHeight="1">
      <c r="C300" s="4" t="str">
        <f>C294</f>
        <v>Treasury Fee</v>
      </c>
    </row>
    <row r="301" ht="13.5" customHeight="1" thickBot="1">
      <c r="C301" s="4" t="str">
        <f>C295</f>
        <v>Intercept</v>
      </c>
    </row>
    <row r="302" ht="13.5" customHeight="1" thickBot="1">
      <c r="C302" s="14" t="s">
        <v>98</v>
      </c>
    </row>
    <row r="303" ht="13.5" customHeight="1">
      <c r="C303" s="15"/>
    </row>
    <row r="304" spans="1:3" ht="13.5" customHeight="1">
      <c r="A304" s="16"/>
      <c r="B304" s="9" t="s">
        <v>105</v>
      </c>
      <c r="C304" s="30" t="s">
        <v>99</v>
      </c>
    </row>
    <row r="305" ht="13.5" customHeight="1">
      <c r="C305" s="4" t="str">
        <f>C299</f>
        <v>Debt Reserve</v>
      </c>
    </row>
    <row r="306" ht="13.5" customHeight="1">
      <c r="C306" s="4" t="str">
        <f>C300</f>
        <v>Treasury Fee</v>
      </c>
    </row>
    <row r="307" ht="13.5" customHeight="1" thickBot="1">
      <c r="C307" s="4" t="str">
        <f>C301</f>
        <v>Intercept</v>
      </c>
    </row>
    <row r="308" ht="13.5" customHeight="1" thickBot="1">
      <c r="C308" s="6" t="s">
        <v>100</v>
      </c>
    </row>
    <row r="309" ht="13.5" customHeight="1">
      <c r="C309" s="15"/>
    </row>
    <row r="310" spans="1:3" ht="13.5" customHeight="1">
      <c r="A310" s="16">
        <f>+A274+1</f>
        <v>8</v>
      </c>
      <c r="B310" s="33" t="s">
        <v>103</v>
      </c>
      <c r="C310" s="32" t="s">
        <v>101</v>
      </c>
    </row>
    <row r="311" spans="3:16" ht="13.5" customHeight="1">
      <c r="C311" s="4" t="str">
        <f>C305</f>
        <v>Debt Reserve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39">
        <v>0</v>
      </c>
      <c r="P311" s="26">
        <f>SUM(D311:O311)</f>
        <v>0</v>
      </c>
    </row>
    <row r="312" spans="3:16" ht="13.5" customHeight="1">
      <c r="C312" s="4" t="str">
        <f>C306</f>
        <v>Treasury Fee</v>
      </c>
      <c r="D312" s="47">
        <v>250</v>
      </c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55"/>
      <c r="P312" s="26">
        <f>SUM(D312:O312)</f>
        <v>250</v>
      </c>
    </row>
    <row r="313" spans="3:16" ht="13.5" customHeight="1" thickBot="1">
      <c r="C313" s="4" t="str">
        <f>C307</f>
        <v>Intercept</v>
      </c>
      <c r="D313" s="47">
        <f>16250+39515.63</f>
        <v>55765.63</v>
      </c>
      <c r="E313" s="47">
        <f aca="true" t="shared" si="15" ref="E313:O313">16250+39515.63</f>
        <v>55765.63</v>
      </c>
      <c r="F313" s="47">
        <f t="shared" si="15"/>
        <v>55765.63</v>
      </c>
      <c r="G313" s="47">
        <f t="shared" si="15"/>
        <v>55765.63</v>
      </c>
      <c r="H313" s="47">
        <f t="shared" si="15"/>
        <v>55765.63</v>
      </c>
      <c r="I313" s="47">
        <f t="shared" si="15"/>
        <v>55765.63</v>
      </c>
      <c r="J313" s="47">
        <f t="shared" si="15"/>
        <v>55765.63</v>
      </c>
      <c r="K313" s="47">
        <f t="shared" si="15"/>
        <v>55765.63</v>
      </c>
      <c r="L313" s="47">
        <f t="shared" si="15"/>
        <v>55765.63</v>
      </c>
      <c r="M313" s="47">
        <f t="shared" si="15"/>
        <v>55765.63</v>
      </c>
      <c r="N313" s="47">
        <f t="shared" si="15"/>
        <v>55765.63</v>
      </c>
      <c r="O313" s="55">
        <f t="shared" si="15"/>
        <v>55765.63</v>
      </c>
      <c r="P313" s="26">
        <f>SUM(D313:O313)</f>
        <v>669187.5599999999</v>
      </c>
    </row>
    <row r="314" spans="3:16" ht="13.5" customHeight="1" thickBot="1">
      <c r="C314" s="6" t="s">
        <v>102</v>
      </c>
      <c r="D314" s="27">
        <f aca="true" t="shared" si="16" ref="D314:P314">SUM(D311:D313)</f>
        <v>56015.63</v>
      </c>
      <c r="E314" s="27">
        <f t="shared" si="16"/>
        <v>55765.63</v>
      </c>
      <c r="F314" s="27">
        <f t="shared" si="16"/>
        <v>55765.63</v>
      </c>
      <c r="G314" s="27">
        <f t="shared" si="16"/>
        <v>55765.63</v>
      </c>
      <c r="H314" s="27">
        <f t="shared" si="16"/>
        <v>55765.63</v>
      </c>
      <c r="I314" s="27">
        <f t="shared" si="16"/>
        <v>55765.63</v>
      </c>
      <c r="J314" s="27">
        <f t="shared" si="16"/>
        <v>55765.63</v>
      </c>
      <c r="K314" s="27">
        <f t="shared" si="16"/>
        <v>55765.63</v>
      </c>
      <c r="L314" s="27">
        <f t="shared" si="16"/>
        <v>55765.63</v>
      </c>
      <c r="M314" s="27">
        <f t="shared" si="16"/>
        <v>55765.63</v>
      </c>
      <c r="N314" s="27">
        <f t="shared" si="16"/>
        <v>55765.63</v>
      </c>
      <c r="O314" s="40">
        <f t="shared" si="16"/>
        <v>55765.63</v>
      </c>
      <c r="P314" s="27">
        <f t="shared" si="16"/>
        <v>669437.5599999999</v>
      </c>
    </row>
    <row r="315" ht="13.5" customHeight="1">
      <c r="C315" s="15"/>
    </row>
    <row r="316" spans="1:3" ht="13.5" customHeight="1">
      <c r="A316" s="16"/>
      <c r="B316" s="9" t="s">
        <v>105</v>
      </c>
      <c r="C316" s="30" t="s">
        <v>106</v>
      </c>
    </row>
    <row r="317" ht="13.5" customHeight="1">
      <c r="C317" s="4" t="str">
        <f>C311</f>
        <v>Debt Reserve</v>
      </c>
    </row>
    <row r="318" ht="13.5" customHeight="1">
      <c r="C318" s="4" t="str">
        <f>C312</f>
        <v>Treasury Fee</v>
      </c>
    </row>
    <row r="319" ht="13.5" customHeight="1" thickBot="1">
      <c r="C319" s="4" t="str">
        <f>C313</f>
        <v>Intercept</v>
      </c>
    </row>
    <row r="320" ht="13.5" customHeight="1" thickBot="1">
      <c r="C320" s="6" t="s">
        <v>107</v>
      </c>
    </row>
    <row r="321" ht="13.5" customHeight="1">
      <c r="C321" s="12"/>
    </row>
    <row r="322" spans="1:3" ht="13.5" customHeight="1">
      <c r="A322" s="16"/>
      <c r="B322" s="9" t="s">
        <v>105</v>
      </c>
      <c r="C322" s="10" t="s">
        <v>108</v>
      </c>
    </row>
    <row r="323" ht="13.5" customHeight="1">
      <c r="C323" s="4" t="str">
        <f>C317</f>
        <v>Debt Reserve</v>
      </c>
    </row>
    <row r="324" ht="13.5" customHeight="1">
      <c r="C324" s="4" t="str">
        <f>C318</f>
        <v>Treasury Fee</v>
      </c>
    </row>
    <row r="325" ht="13.5" customHeight="1" thickBot="1">
      <c r="C325" s="4" t="str">
        <f>C319</f>
        <v>Intercept</v>
      </c>
    </row>
    <row r="326" ht="13.5" customHeight="1" thickBot="1">
      <c r="C326" s="6" t="s">
        <v>109</v>
      </c>
    </row>
    <row r="327" ht="13.5" customHeight="1">
      <c r="C327" s="12"/>
    </row>
    <row r="328" spans="1:3" ht="13.5" customHeight="1">
      <c r="A328" s="16"/>
      <c r="B328" s="9" t="s">
        <v>105</v>
      </c>
      <c r="C328" s="30" t="s">
        <v>110</v>
      </c>
    </row>
    <row r="329" ht="13.5" customHeight="1">
      <c r="C329" s="4" t="str">
        <f>C323</f>
        <v>Debt Reserve</v>
      </c>
    </row>
    <row r="330" ht="13.5" customHeight="1">
      <c r="C330" s="4" t="str">
        <f>C324</f>
        <v>Treasury Fee</v>
      </c>
    </row>
    <row r="331" ht="13.5" customHeight="1" thickBot="1">
      <c r="C331" s="4" t="str">
        <f>C325</f>
        <v>Intercept</v>
      </c>
    </row>
    <row r="332" ht="13.5" customHeight="1" thickBot="1">
      <c r="C332" s="6" t="s">
        <v>111</v>
      </c>
    </row>
    <row r="333" ht="13.5" customHeight="1">
      <c r="C333" s="12"/>
    </row>
    <row r="334" spans="1:3" ht="13.5" customHeight="1">
      <c r="A334" s="16"/>
      <c r="B334" s="9" t="s">
        <v>105</v>
      </c>
      <c r="C334" s="30" t="s">
        <v>112</v>
      </c>
    </row>
    <row r="335" ht="13.5" customHeight="1">
      <c r="C335" s="4" t="str">
        <f>C329</f>
        <v>Debt Reserve</v>
      </c>
    </row>
    <row r="336" ht="13.5" customHeight="1">
      <c r="C336" s="4" t="str">
        <f>C330</f>
        <v>Treasury Fee</v>
      </c>
    </row>
    <row r="337" ht="13.5" customHeight="1" thickBot="1">
      <c r="C337" s="4" t="str">
        <f>C331</f>
        <v>Intercept</v>
      </c>
    </row>
    <row r="338" ht="13.5" customHeight="1" thickBot="1">
      <c r="C338" s="6" t="s">
        <v>113</v>
      </c>
    </row>
    <row r="339" ht="13.5" customHeight="1">
      <c r="C339" s="12"/>
    </row>
    <row r="340" spans="1:3" ht="13.5" customHeight="1">
      <c r="A340" s="16">
        <f>+A310+1</f>
        <v>9</v>
      </c>
      <c r="B340" s="17"/>
      <c r="C340" s="5" t="s">
        <v>114</v>
      </c>
    </row>
    <row r="341" spans="3:16" ht="13.5" customHeight="1">
      <c r="C341" s="4" t="str">
        <f>C335</f>
        <v>Debt Reserve</v>
      </c>
      <c r="D341" s="49">
        <v>512.08</v>
      </c>
      <c r="E341" s="49">
        <v>512.08</v>
      </c>
      <c r="F341" s="49">
        <v>512.08</v>
      </c>
      <c r="G341" s="49">
        <v>512.08</v>
      </c>
      <c r="H341" s="49">
        <v>512.08</v>
      </c>
      <c r="I341" s="49">
        <v>512.08</v>
      </c>
      <c r="J341" s="49">
        <v>512.08</v>
      </c>
      <c r="K341" s="49">
        <v>512.08</v>
      </c>
      <c r="L341" s="49">
        <v>512.08</v>
      </c>
      <c r="M341" s="49">
        <v>512.08</v>
      </c>
      <c r="N341" s="49">
        <v>512.08</v>
      </c>
      <c r="O341" s="56">
        <v>512.08</v>
      </c>
      <c r="P341" s="49">
        <f>SUM(D341:O341)</f>
        <v>6144.96</v>
      </c>
    </row>
    <row r="342" spans="3:16" ht="13.5" customHeight="1">
      <c r="C342" s="4" t="str">
        <f>C336</f>
        <v>Treasury Fee</v>
      </c>
      <c r="D342" s="47">
        <v>250</v>
      </c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55"/>
      <c r="P342" s="49">
        <f>SUM(D342:O342)</f>
        <v>250</v>
      </c>
    </row>
    <row r="343" spans="3:16" ht="13.5" customHeight="1" thickBot="1">
      <c r="C343" s="4" t="str">
        <f>C337</f>
        <v>Intercept</v>
      </c>
      <c r="D343" s="47">
        <v>28804.69</v>
      </c>
      <c r="E343" s="47">
        <v>28804.69</v>
      </c>
      <c r="F343" s="47">
        <v>28804.69</v>
      </c>
      <c r="G343" s="47">
        <v>28804.69</v>
      </c>
      <c r="H343" s="47">
        <v>28804.69</v>
      </c>
      <c r="I343" s="47">
        <v>28804.69</v>
      </c>
      <c r="J343" s="47">
        <v>28804.69</v>
      </c>
      <c r="K343" s="47">
        <v>28804.69</v>
      </c>
      <c r="L343" s="47">
        <v>28804.69</v>
      </c>
      <c r="M343" s="47">
        <v>28804.69</v>
      </c>
      <c r="N343" s="47">
        <v>28804.69</v>
      </c>
      <c r="O343" s="55">
        <v>28804.69</v>
      </c>
      <c r="P343" s="49">
        <f>SUM(D343:O343)</f>
        <v>345656.27999999997</v>
      </c>
    </row>
    <row r="344" spans="3:16" ht="13.5" customHeight="1" thickBot="1">
      <c r="C344" s="6" t="s">
        <v>26</v>
      </c>
      <c r="D344" s="50">
        <f aca="true" t="shared" si="17" ref="D344:P344">SUM(D341:D343)</f>
        <v>29566.77</v>
      </c>
      <c r="E344" s="50">
        <f t="shared" si="17"/>
        <v>29316.77</v>
      </c>
      <c r="F344" s="50">
        <f t="shared" si="17"/>
        <v>29316.77</v>
      </c>
      <c r="G344" s="50">
        <f t="shared" si="17"/>
        <v>29316.77</v>
      </c>
      <c r="H344" s="50">
        <f t="shared" si="17"/>
        <v>29316.77</v>
      </c>
      <c r="I344" s="50">
        <f t="shared" si="17"/>
        <v>29316.77</v>
      </c>
      <c r="J344" s="50">
        <f t="shared" si="17"/>
        <v>29316.77</v>
      </c>
      <c r="K344" s="50">
        <f t="shared" si="17"/>
        <v>29316.77</v>
      </c>
      <c r="L344" s="50">
        <f t="shared" si="17"/>
        <v>29316.77</v>
      </c>
      <c r="M344" s="50">
        <f t="shared" si="17"/>
        <v>29316.77</v>
      </c>
      <c r="N344" s="50">
        <f t="shared" si="17"/>
        <v>29316.77</v>
      </c>
      <c r="O344" s="52">
        <f t="shared" si="17"/>
        <v>29316.77</v>
      </c>
      <c r="P344" s="50">
        <f t="shared" si="17"/>
        <v>352051.24</v>
      </c>
    </row>
    <row r="345" spans="3:16" ht="13.5" customHeight="1">
      <c r="C345" s="12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55"/>
      <c r="P345" s="47"/>
    </row>
    <row r="346" spans="1:3" ht="13.5" customHeight="1">
      <c r="A346" s="16"/>
      <c r="B346" s="9" t="s">
        <v>105</v>
      </c>
      <c r="C346" s="30" t="s">
        <v>115</v>
      </c>
    </row>
    <row r="347" ht="13.5" customHeight="1">
      <c r="C347" s="4" t="str">
        <f>C341</f>
        <v>Debt Reserve</v>
      </c>
    </row>
    <row r="348" ht="13.5" customHeight="1">
      <c r="C348" s="4" t="str">
        <f>C342</f>
        <v>Treasury Fee</v>
      </c>
    </row>
    <row r="349" ht="13.5" customHeight="1" thickBot="1">
      <c r="C349" s="4" t="str">
        <f>C343</f>
        <v>Intercept</v>
      </c>
    </row>
    <row r="350" ht="13.5" customHeight="1" thickBot="1">
      <c r="C350" s="6" t="s">
        <v>116</v>
      </c>
    </row>
    <row r="351" ht="13.5" customHeight="1">
      <c r="C351" s="12"/>
    </row>
    <row r="352" spans="1:3" ht="13.5" customHeight="1">
      <c r="A352" s="16"/>
      <c r="B352" s="9" t="s">
        <v>105</v>
      </c>
      <c r="C352" s="30" t="s">
        <v>117</v>
      </c>
    </row>
    <row r="353" ht="13.5" customHeight="1">
      <c r="C353" s="4" t="str">
        <f>C347</f>
        <v>Debt Reserve</v>
      </c>
    </row>
    <row r="354" ht="13.5" customHeight="1">
      <c r="C354" s="4" t="str">
        <f>C348</f>
        <v>Treasury Fee</v>
      </c>
    </row>
    <row r="355" ht="13.5" customHeight="1" thickBot="1">
      <c r="C355" s="4" t="str">
        <f>C349</f>
        <v>Intercept</v>
      </c>
    </row>
    <row r="356" ht="13.5" customHeight="1" thickBot="1">
      <c r="C356" s="6" t="s">
        <v>118</v>
      </c>
    </row>
    <row r="357" ht="13.5" customHeight="1">
      <c r="C357" s="12"/>
    </row>
    <row r="358" spans="1:3" ht="13.5" customHeight="1">
      <c r="A358" s="16"/>
      <c r="B358" s="9" t="s">
        <v>105</v>
      </c>
      <c r="C358" s="30" t="s">
        <v>119</v>
      </c>
    </row>
    <row r="359" ht="13.5" customHeight="1">
      <c r="C359" s="4" t="str">
        <f>C353</f>
        <v>Debt Reserve</v>
      </c>
    </row>
    <row r="360" ht="13.5" customHeight="1">
      <c r="C360" s="4" t="str">
        <f>C354</f>
        <v>Treasury Fee</v>
      </c>
    </row>
    <row r="361" ht="13.5" customHeight="1" thickBot="1">
      <c r="C361" s="4" t="str">
        <f>C355</f>
        <v>Intercept</v>
      </c>
    </row>
    <row r="362" ht="13.5" customHeight="1" thickBot="1">
      <c r="C362" s="6" t="s">
        <v>120</v>
      </c>
    </row>
    <row r="363" ht="13.5" customHeight="1">
      <c r="C363" s="12"/>
    </row>
    <row r="364" spans="1:3" ht="13.5" customHeight="1">
      <c r="A364" s="16"/>
      <c r="B364" s="9" t="s">
        <v>105</v>
      </c>
      <c r="C364" s="30" t="s">
        <v>121</v>
      </c>
    </row>
    <row r="365" spans="1:16" ht="13.5" customHeight="1">
      <c r="A365" s="20"/>
      <c r="B365" s="20"/>
      <c r="C365" s="4" t="str">
        <f>C359</f>
        <v>Debt Reserve</v>
      </c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P365" s="43"/>
    </row>
    <row r="366" ht="13.5" customHeight="1">
      <c r="C366" s="4" t="str">
        <f>C360</f>
        <v>Treasury Fee</v>
      </c>
    </row>
    <row r="367" ht="13.5" customHeight="1" thickBot="1">
      <c r="C367" s="4" t="str">
        <f>C361</f>
        <v>Intercept</v>
      </c>
    </row>
    <row r="368" ht="13.5" customHeight="1" thickBot="1">
      <c r="C368" s="6" t="s">
        <v>122</v>
      </c>
    </row>
    <row r="369" ht="13.5" customHeight="1">
      <c r="C369" s="12"/>
    </row>
    <row r="370" spans="1:3" ht="13.5" customHeight="1">
      <c r="A370" s="16"/>
      <c r="B370" s="9" t="s">
        <v>105</v>
      </c>
      <c r="C370" s="30" t="s">
        <v>123</v>
      </c>
    </row>
    <row r="371" spans="1:16" ht="13.5" customHeight="1">
      <c r="A371" s="20"/>
      <c r="B371" s="20"/>
      <c r="C371" s="4" t="str">
        <f>C365</f>
        <v>Debt Reserve</v>
      </c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P371" s="43"/>
    </row>
    <row r="372" ht="13.5" customHeight="1">
      <c r="C372" s="4" t="str">
        <f>C366</f>
        <v>Treasury Fee</v>
      </c>
    </row>
    <row r="373" ht="13.5" customHeight="1" thickBot="1">
      <c r="C373" s="4" t="str">
        <f>C367</f>
        <v>Intercept</v>
      </c>
    </row>
    <row r="374" ht="13.5" customHeight="1" thickBot="1">
      <c r="C374" s="6" t="s">
        <v>96</v>
      </c>
    </row>
    <row r="375" ht="13.5" customHeight="1">
      <c r="C375" s="12"/>
    </row>
    <row r="376" spans="1:3" ht="13.5" customHeight="1">
      <c r="A376" s="16">
        <f>A340+1</f>
        <v>10</v>
      </c>
      <c r="B376" s="17"/>
      <c r="C376" s="5" t="s">
        <v>126</v>
      </c>
    </row>
    <row r="377" spans="1:16" ht="13.5" customHeight="1">
      <c r="A377" s="20"/>
      <c r="B377" s="20"/>
      <c r="C377" s="4" t="str">
        <f>C371</f>
        <v>Debt Reserve</v>
      </c>
      <c r="D377" s="26">
        <v>565.42</v>
      </c>
      <c r="E377" s="26">
        <v>565.42</v>
      </c>
      <c r="F377" s="26">
        <v>565.42</v>
      </c>
      <c r="G377" s="51">
        <v>551.67</v>
      </c>
      <c r="H377" s="51">
        <v>551.67</v>
      </c>
      <c r="I377" s="51">
        <v>551.67</v>
      </c>
      <c r="J377" s="51">
        <v>551.67</v>
      </c>
      <c r="K377" s="51">
        <v>551.67</v>
      </c>
      <c r="L377" s="51">
        <v>551.67</v>
      </c>
      <c r="M377" s="51">
        <v>551.67</v>
      </c>
      <c r="N377" s="51">
        <v>551.67</v>
      </c>
      <c r="O377" s="55">
        <v>551.67</v>
      </c>
      <c r="P377" s="26">
        <f>SUM(D377:O377)</f>
        <v>6661.29</v>
      </c>
    </row>
    <row r="378" spans="3:16" ht="13.5" customHeight="1">
      <c r="C378" s="4" t="str">
        <f>C372</f>
        <v>Treasury Fee</v>
      </c>
      <c r="D378" s="47">
        <v>250</v>
      </c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55"/>
      <c r="P378" s="26">
        <f>SUM(D378:O378)</f>
        <v>250</v>
      </c>
    </row>
    <row r="379" spans="3:16" ht="13.5" customHeight="1" thickBot="1">
      <c r="C379" s="4" t="str">
        <f>C373</f>
        <v>Intercept</v>
      </c>
      <c r="D379" s="47">
        <f>14583.33+26966.67</f>
        <v>41550</v>
      </c>
      <c r="E379" s="47">
        <f aca="true" t="shared" si="18" ref="E379:O379">14583.33+26966.67</f>
        <v>41550</v>
      </c>
      <c r="F379" s="47">
        <f t="shared" si="18"/>
        <v>41550</v>
      </c>
      <c r="G379" s="47">
        <f t="shared" si="18"/>
        <v>41550</v>
      </c>
      <c r="H379" s="47">
        <f t="shared" si="18"/>
        <v>41550</v>
      </c>
      <c r="I379" s="47">
        <f t="shared" si="18"/>
        <v>41550</v>
      </c>
      <c r="J379" s="47">
        <f t="shared" si="18"/>
        <v>41550</v>
      </c>
      <c r="K379" s="47">
        <f t="shared" si="18"/>
        <v>41550</v>
      </c>
      <c r="L379" s="47">
        <f t="shared" si="18"/>
        <v>41550</v>
      </c>
      <c r="M379" s="47">
        <f t="shared" si="18"/>
        <v>41550</v>
      </c>
      <c r="N379" s="47">
        <f t="shared" si="18"/>
        <v>41550</v>
      </c>
      <c r="O379" s="55">
        <f t="shared" si="18"/>
        <v>41550</v>
      </c>
      <c r="P379" s="26">
        <f>SUM(D379:O379)</f>
        <v>498600</v>
      </c>
    </row>
    <row r="380" spans="3:16" ht="13.5" customHeight="1" thickBot="1">
      <c r="C380" s="6" t="s">
        <v>127</v>
      </c>
      <c r="D380" s="27">
        <f aca="true" t="shared" si="19" ref="D380:P380">SUM(D377:D379)</f>
        <v>42365.42</v>
      </c>
      <c r="E380" s="27">
        <f t="shared" si="19"/>
        <v>42115.42</v>
      </c>
      <c r="F380" s="27">
        <f t="shared" si="19"/>
        <v>42115.42</v>
      </c>
      <c r="G380" s="27">
        <f t="shared" si="19"/>
        <v>42101.67</v>
      </c>
      <c r="H380" s="27">
        <f t="shared" si="19"/>
        <v>42101.67</v>
      </c>
      <c r="I380" s="27">
        <f t="shared" si="19"/>
        <v>42101.67</v>
      </c>
      <c r="J380" s="27">
        <f t="shared" si="19"/>
        <v>42101.67</v>
      </c>
      <c r="K380" s="27">
        <f t="shared" si="19"/>
        <v>42101.67</v>
      </c>
      <c r="L380" s="27">
        <f t="shared" si="19"/>
        <v>42101.67</v>
      </c>
      <c r="M380" s="27">
        <f t="shared" si="19"/>
        <v>42101.67</v>
      </c>
      <c r="N380" s="27">
        <f t="shared" si="19"/>
        <v>42101.67</v>
      </c>
      <c r="O380" s="40">
        <f t="shared" si="19"/>
        <v>42101.67</v>
      </c>
      <c r="P380" s="27">
        <f t="shared" si="19"/>
        <v>505511.29</v>
      </c>
    </row>
    <row r="381" ht="13.5" customHeight="1">
      <c r="C381" s="12"/>
    </row>
    <row r="382" spans="1:3" ht="13.5" customHeight="1">
      <c r="A382" s="16">
        <f>+A376+1</f>
        <v>11</v>
      </c>
      <c r="B382" s="33" t="s">
        <v>103</v>
      </c>
      <c r="C382" s="32" t="s">
        <v>128</v>
      </c>
    </row>
    <row r="383" spans="1:16" ht="13.5" customHeight="1">
      <c r="A383" s="20"/>
      <c r="B383" s="20"/>
      <c r="C383" s="4" t="str">
        <f>C377</f>
        <v>Debt Reserve</v>
      </c>
      <c r="D383" s="26">
        <v>944.58</v>
      </c>
      <c r="E383" s="26">
        <v>944.58</v>
      </c>
      <c r="F383" s="26">
        <v>944.58</v>
      </c>
      <c r="G383" s="26">
        <v>944.58</v>
      </c>
      <c r="H383" s="26">
        <v>944.58</v>
      </c>
      <c r="I383" s="26">
        <v>944.58</v>
      </c>
      <c r="J383" s="51">
        <v>922.08</v>
      </c>
      <c r="K383" s="51">
        <v>922.08</v>
      </c>
      <c r="L383" s="51">
        <v>922.08</v>
      </c>
      <c r="M383" s="51">
        <v>922.08</v>
      </c>
      <c r="N383" s="51">
        <v>922.08</v>
      </c>
      <c r="O383" s="55">
        <v>922.08</v>
      </c>
      <c r="P383" s="26">
        <f>SUM(D383:O383)</f>
        <v>11199.960000000001</v>
      </c>
    </row>
    <row r="384" spans="3:16" ht="13.5" customHeight="1">
      <c r="C384" s="4" t="str">
        <f>C378</f>
        <v>Treasury Fee</v>
      </c>
      <c r="D384" s="47">
        <v>250</v>
      </c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55"/>
      <c r="P384" s="26">
        <f>SUM(D384:O384)</f>
        <v>250</v>
      </c>
    </row>
    <row r="385" spans="3:16" ht="13.5" customHeight="1" thickBot="1">
      <c r="C385" s="4" t="str">
        <f>C379</f>
        <v>Intercept</v>
      </c>
      <c r="D385" s="47">
        <f>22500+47677.08</f>
        <v>70177.08</v>
      </c>
      <c r="E385" s="47">
        <f>22500+47677.08</f>
        <v>70177.08</v>
      </c>
      <c r="F385" s="47">
        <f>22500+47677.08</f>
        <v>70177.08</v>
      </c>
      <c r="G385" s="47">
        <f>22500+47677.08</f>
        <v>70177.08</v>
      </c>
      <c r="H385" s="47">
        <f>22500+47677.08</f>
        <v>70177.08</v>
      </c>
      <c r="I385" s="47">
        <f>23333.33+46692.71</f>
        <v>70026.04000000001</v>
      </c>
      <c r="J385" s="47">
        <f aca="true" t="shared" si="20" ref="J385:P385">23333.33+46692.71</f>
        <v>70026.04000000001</v>
      </c>
      <c r="K385" s="47">
        <f t="shared" si="20"/>
        <v>70026.04000000001</v>
      </c>
      <c r="L385" s="47">
        <f t="shared" si="20"/>
        <v>70026.04000000001</v>
      </c>
      <c r="M385" s="47">
        <f t="shared" si="20"/>
        <v>70026.04000000001</v>
      </c>
      <c r="N385" s="47">
        <f t="shared" si="20"/>
        <v>70026.04000000001</v>
      </c>
      <c r="O385" s="55">
        <f t="shared" si="20"/>
        <v>70026.04000000001</v>
      </c>
      <c r="P385" s="26">
        <f>SUM(D385:O385)</f>
        <v>841067.6800000003</v>
      </c>
    </row>
    <row r="386" spans="3:16" ht="13.5" customHeight="1" thickBot="1">
      <c r="C386" s="6" t="s">
        <v>129</v>
      </c>
      <c r="D386" s="27">
        <f aca="true" t="shared" si="21" ref="D386:P386">SUM(D383:D385)</f>
        <v>71371.66</v>
      </c>
      <c r="E386" s="27">
        <f t="shared" si="21"/>
        <v>71121.66</v>
      </c>
      <c r="F386" s="27">
        <f t="shared" si="21"/>
        <v>71121.66</v>
      </c>
      <c r="G386" s="27">
        <f t="shared" si="21"/>
        <v>71121.66</v>
      </c>
      <c r="H386" s="27">
        <f t="shared" si="21"/>
        <v>71121.66</v>
      </c>
      <c r="I386" s="27">
        <f t="shared" si="21"/>
        <v>70970.62000000001</v>
      </c>
      <c r="J386" s="27">
        <f t="shared" si="21"/>
        <v>70948.12000000001</v>
      </c>
      <c r="K386" s="27">
        <f t="shared" si="21"/>
        <v>70948.12000000001</v>
      </c>
      <c r="L386" s="27">
        <f t="shared" si="21"/>
        <v>70948.12000000001</v>
      </c>
      <c r="M386" s="27">
        <f t="shared" si="21"/>
        <v>70948.12000000001</v>
      </c>
      <c r="N386" s="27">
        <f t="shared" si="21"/>
        <v>70948.12000000001</v>
      </c>
      <c r="O386" s="40">
        <f t="shared" si="21"/>
        <v>70948.12000000001</v>
      </c>
      <c r="P386" s="27">
        <f t="shared" si="21"/>
        <v>852517.6400000002</v>
      </c>
    </row>
    <row r="387" ht="13.5" customHeight="1">
      <c r="C387" s="12"/>
    </row>
    <row r="388" spans="1:3" ht="13.5" customHeight="1">
      <c r="A388" s="16">
        <f>+A382+1</f>
        <v>12</v>
      </c>
      <c r="B388" s="33" t="s">
        <v>103</v>
      </c>
      <c r="C388" s="32" t="s">
        <v>130</v>
      </c>
    </row>
    <row r="389" spans="1:16" ht="13.5" customHeight="1">
      <c r="A389" s="20"/>
      <c r="B389" s="20"/>
      <c r="C389" s="4" t="str">
        <f>C383</f>
        <v>Debt Reserve</v>
      </c>
      <c r="D389" s="26">
        <v>881.25</v>
      </c>
      <c r="E389" s="26">
        <v>881.25</v>
      </c>
      <c r="F389" s="26">
        <v>881.25</v>
      </c>
      <c r="G389" s="26">
        <v>881.25</v>
      </c>
      <c r="H389" s="26">
        <v>881.25</v>
      </c>
      <c r="I389" s="26">
        <v>881.25</v>
      </c>
      <c r="J389" s="26">
        <v>881.25</v>
      </c>
      <c r="K389" s="26">
        <v>881.25</v>
      </c>
      <c r="L389" s="51">
        <v>860.42</v>
      </c>
      <c r="M389" s="51">
        <v>860.42</v>
      </c>
      <c r="N389" s="51">
        <v>860.42</v>
      </c>
      <c r="O389" s="55">
        <v>860.42</v>
      </c>
      <c r="P389" s="26">
        <f>SUM(D389:O389)</f>
        <v>10491.68</v>
      </c>
    </row>
    <row r="390" spans="3:16" ht="13.5" customHeight="1">
      <c r="C390" s="4" t="str">
        <f>C384</f>
        <v>Treasury Fee</v>
      </c>
      <c r="D390" s="47">
        <v>250</v>
      </c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55"/>
      <c r="P390" s="26">
        <f>SUM(D390:O390)</f>
        <v>250</v>
      </c>
    </row>
    <row r="391" spans="3:16" ht="13.5" customHeight="1" thickBot="1">
      <c r="C391" s="4" t="str">
        <f>C385</f>
        <v>Intercept</v>
      </c>
      <c r="D391" s="26">
        <f aca="true" t="shared" si="22" ref="D391:K391">20833.33+46686.46</f>
        <v>67519.79000000001</v>
      </c>
      <c r="E391" s="26">
        <f t="shared" si="22"/>
        <v>67519.79000000001</v>
      </c>
      <c r="F391" s="26">
        <f t="shared" si="22"/>
        <v>67519.79000000001</v>
      </c>
      <c r="G391" s="26">
        <f t="shared" si="22"/>
        <v>67519.79000000001</v>
      </c>
      <c r="H391" s="26">
        <f t="shared" si="22"/>
        <v>67519.79000000001</v>
      </c>
      <c r="I391" s="26">
        <f t="shared" si="22"/>
        <v>67519.79000000001</v>
      </c>
      <c r="J391" s="26">
        <f t="shared" si="22"/>
        <v>67519.79000000001</v>
      </c>
      <c r="K391" s="26">
        <f t="shared" si="22"/>
        <v>67519.79000000001</v>
      </c>
      <c r="L391" s="47">
        <f>21666.67+45748.96</f>
        <v>67415.63</v>
      </c>
      <c r="M391" s="47">
        <f>21666.67+45748.96</f>
        <v>67415.63</v>
      </c>
      <c r="N391" s="47">
        <f>21666.67+45748.96</f>
        <v>67415.63</v>
      </c>
      <c r="O391" s="55">
        <f>21666.67+45748.96</f>
        <v>67415.63</v>
      </c>
      <c r="P391" s="26">
        <f>SUM(D391:O391)</f>
        <v>809820.8400000002</v>
      </c>
    </row>
    <row r="392" spans="3:16" ht="13.5" customHeight="1" thickBot="1">
      <c r="C392" s="6" t="s">
        <v>131</v>
      </c>
      <c r="D392" s="27">
        <f aca="true" t="shared" si="23" ref="D392:P392">SUM(D389:D391)</f>
        <v>68651.04000000001</v>
      </c>
      <c r="E392" s="27">
        <f t="shared" si="23"/>
        <v>68401.04000000001</v>
      </c>
      <c r="F392" s="27">
        <f t="shared" si="23"/>
        <v>68401.04000000001</v>
      </c>
      <c r="G392" s="27">
        <f t="shared" si="23"/>
        <v>68401.04000000001</v>
      </c>
      <c r="H392" s="27">
        <f t="shared" si="23"/>
        <v>68401.04000000001</v>
      </c>
      <c r="I392" s="27">
        <f t="shared" si="23"/>
        <v>68401.04000000001</v>
      </c>
      <c r="J392" s="27">
        <f t="shared" si="23"/>
        <v>68401.04000000001</v>
      </c>
      <c r="K392" s="27">
        <f t="shared" si="23"/>
        <v>68401.04000000001</v>
      </c>
      <c r="L392" s="27">
        <f t="shared" si="23"/>
        <v>68276.05</v>
      </c>
      <c r="M392" s="27">
        <f t="shared" si="23"/>
        <v>68276.05</v>
      </c>
      <c r="N392" s="27">
        <f t="shared" si="23"/>
        <v>68276.05</v>
      </c>
      <c r="O392" s="40">
        <f t="shared" si="23"/>
        <v>68276.05</v>
      </c>
      <c r="P392" s="27">
        <f t="shared" si="23"/>
        <v>820562.5200000003</v>
      </c>
    </row>
    <row r="393" ht="13.5" customHeight="1">
      <c r="C393" s="12"/>
    </row>
    <row r="394" spans="1:3" ht="13.5" customHeight="1">
      <c r="A394" s="16">
        <f>+A388+1</f>
        <v>13</v>
      </c>
      <c r="B394" s="33" t="s">
        <v>103</v>
      </c>
      <c r="C394" s="32" t="s">
        <v>132</v>
      </c>
    </row>
    <row r="395" spans="1:16" ht="13.5" customHeight="1">
      <c r="A395" s="20"/>
      <c r="B395" s="20"/>
      <c r="C395" s="4" t="str">
        <f>C389</f>
        <v>Debt Reserve</v>
      </c>
      <c r="D395" s="26">
        <v>529.17</v>
      </c>
      <c r="E395" s="26">
        <v>529.17</v>
      </c>
      <c r="F395" s="26">
        <v>529.17</v>
      </c>
      <c r="G395" s="26">
        <v>529.17</v>
      </c>
      <c r="H395" s="26">
        <v>529.17</v>
      </c>
      <c r="I395" s="26">
        <v>529.17</v>
      </c>
      <c r="J395" s="26">
        <v>529.17</v>
      </c>
      <c r="K395" s="26">
        <v>529.17</v>
      </c>
      <c r="L395" s="26">
        <v>529.17</v>
      </c>
      <c r="M395" s="26">
        <v>529.17</v>
      </c>
      <c r="N395" s="26">
        <v>529.17</v>
      </c>
      <c r="O395" s="55">
        <v>515.83</v>
      </c>
      <c r="P395" s="26">
        <f>SUM(D395:O395)</f>
        <v>6336.7</v>
      </c>
    </row>
    <row r="396" spans="3:16" ht="13.5" customHeight="1">
      <c r="C396" s="4" t="str">
        <f>C390</f>
        <v>Treasury Fee</v>
      </c>
      <c r="D396" s="47">
        <v>250</v>
      </c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55"/>
      <c r="P396" s="26">
        <f>SUM(D396:O396)</f>
        <v>250</v>
      </c>
    </row>
    <row r="397" spans="3:16" ht="13.5" customHeight="1" thickBot="1">
      <c r="C397" s="4" t="str">
        <f>C391</f>
        <v>Intercept</v>
      </c>
      <c r="D397" s="47">
        <f>13333.33+28836.46</f>
        <v>42169.79</v>
      </c>
      <c r="E397" s="47">
        <f>13333.33+28836.46</f>
        <v>42169.79</v>
      </c>
      <c r="F397" s="47">
        <f aca="true" t="shared" si="24" ref="F397:O397">13333.33+28836.46</f>
        <v>42169.79</v>
      </c>
      <c r="G397" s="47">
        <f t="shared" si="24"/>
        <v>42169.79</v>
      </c>
      <c r="H397" s="47">
        <f t="shared" si="24"/>
        <v>42169.79</v>
      </c>
      <c r="I397" s="47">
        <f t="shared" si="24"/>
        <v>42169.79</v>
      </c>
      <c r="J397" s="47">
        <f t="shared" si="24"/>
        <v>42169.79</v>
      </c>
      <c r="K397" s="47">
        <f t="shared" si="24"/>
        <v>42169.79</v>
      </c>
      <c r="L397" s="47">
        <f t="shared" si="24"/>
        <v>42169.79</v>
      </c>
      <c r="M397" s="47">
        <f t="shared" si="24"/>
        <v>42169.79</v>
      </c>
      <c r="N397" s="47">
        <f t="shared" si="24"/>
        <v>42169.79</v>
      </c>
      <c r="O397" s="55">
        <f t="shared" si="24"/>
        <v>42169.79</v>
      </c>
      <c r="P397" s="26">
        <f>SUM(D397:O397)</f>
        <v>506037.4799999999</v>
      </c>
    </row>
    <row r="398" spans="3:16" ht="13.5" customHeight="1" thickBot="1">
      <c r="C398" s="6" t="s">
        <v>133</v>
      </c>
      <c r="D398" s="27">
        <f aca="true" t="shared" si="25" ref="D398:P398">SUM(D395:D397)</f>
        <v>42948.96</v>
      </c>
      <c r="E398" s="27">
        <f t="shared" si="25"/>
        <v>42698.96</v>
      </c>
      <c r="F398" s="27">
        <f t="shared" si="25"/>
        <v>42698.96</v>
      </c>
      <c r="G398" s="27">
        <f t="shared" si="25"/>
        <v>42698.96</v>
      </c>
      <c r="H398" s="27">
        <f t="shared" si="25"/>
        <v>42698.96</v>
      </c>
      <c r="I398" s="27">
        <f t="shared" si="25"/>
        <v>42698.96</v>
      </c>
      <c r="J398" s="27">
        <f t="shared" si="25"/>
        <v>42698.96</v>
      </c>
      <c r="K398" s="27">
        <f t="shared" si="25"/>
        <v>42698.96</v>
      </c>
      <c r="L398" s="27">
        <f t="shared" si="25"/>
        <v>42698.96</v>
      </c>
      <c r="M398" s="27">
        <f t="shared" si="25"/>
        <v>42698.96</v>
      </c>
      <c r="N398" s="27">
        <f t="shared" si="25"/>
        <v>42698.96</v>
      </c>
      <c r="O398" s="40">
        <f t="shared" si="25"/>
        <v>42685.62</v>
      </c>
      <c r="P398" s="27">
        <f t="shared" si="25"/>
        <v>512624.17999999993</v>
      </c>
    </row>
    <row r="399" ht="13.5" customHeight="1">
      <c r="C399" s="12"/>
    </row>
    <row r="400" spans="1:3" ht="13.5" customHeight="1">
      <c r="A400" s="16"/>
      <c r="B400" s="9" t="s">
        <v>105</v>
      </c>
      <c r="C400" s="30" t="s">
        <v>135</v>
      </c>
    </row>
    <row r="401" spans="1:16" ht="13.5" customHeight="1">
      <c r="A401" s="20"/>
      <c r="B401" s="20"/>
      <c r="C401" s="4" t="str">
        <f>C395</f>
        <v>Debt Reserve</v>
      </c>
      <c r="D401" s="51">
        <v>477.08</v>
      </c>
      <c r="E401" s="51">
        <v>477.08</v>
      </c>
      <c r="F401" s="51">
        <v>477.08</v>
      </c>
      <c r="G401" s="51"/>
      <c r="H401" s="51"/>
      <c r="I401" s="51"/>
      <c r="J401" s="51"/>
      <c r="K401" s="51"/>
      <c r="L401" s="51"/>
      <c r="M401" s="51"/>
      <c r="N401" s="51"/>
      <c r="O401" s="55"/>
      <c r="P401" s="26">
        <f>SUM(D401:O401)</f>
        <v>1431.24</v>
      </c>
    </row>
    <row r="402" spans="3:16" ht="13.5" customHeight="1">
      <c r="C402" s="4" t="str">
        <f>C396</f>
        <v>Treasury Fee</v>
      </c>
      <c r="D402" s="47">
        <v>250</v>
      </c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55"/>
      <c r="P402" s="26">
        <f>SUM(D402:O402)</f>
        <v>250</v>
      </c>
    </row>
    <row r="403" spans="3:16" ht="13.5" customHeight="1" thickBot="1">
      <c r="C403" s="4" t="str">
        <f>C397</f>
        <v>Intercept</v>
      </c>
      <c r="D403" s="47">
        <f>10833.33+27275.52</f>
        <v>38108.85</v>
      </c>
      <c r="E403" s="47">
        <f>10833.33+27275.52</f>
        <v>38108.85</v>
      </c>
      <c r="F403" s="47">
        <f>10833.33+27275.52</f>
        <v>38108.85</v>
      </c>
      <c r="G403" s="47"/>
      <c r="H403" s="47"/>
      <c r="I403" s="47"/>
      <c r="J403" s="47"/>
      <c r="K403" s="47"/>
      <c r="L403" s="47"/>
      <c r="M403" s="47"/>
      <c r="N403" s="47"/>
      <c r="O403" s="55"/>
      <c r="P403" s="26">
        <f>SUM(D403:O403)</f>
        <v>114326.54999999999</v>
      </c>
    </row>
    <row r="404" spans="3:16" ht="13.5" customHeight="1" thickBot="1">
      <c r="C404" s="6" t="s">
        <v>136</v>
      </c>
      <c r="D404" s="27">
        <f aca="true" t="shared" si="26" ref="D404:P404">SUM(D401:D403)</f>
        <v>38835.93</v>
      </c>
      <c r="E404" s="27">
        <f t="shared" si="26"/>
        <v>38585.93</v>
      </c>
      <c r="F404" s="27">
        <f t="shared" si="26"/>
        <v>38585.93</v>
      </c>
      <c r="G404" s="27">
        <f t="shared" si="26"/>
        <v>0</v>
      </c>
      <c r="H404" s="27">
        <f t="shared" si="26"/>
        <v>0</v>
      </c>
      <c r="I404" s="27">
        <f t="shared" si="26"/>
        <v>0</v>
      </c>
      <c r="J404" s="27">
        <f t="shared" si="26"/>
        <v>0</v>
      </c>
      <c r="K404" s="27">
        <f t="shared" si="26"/>
        <v>0</v>
      </c>
      <c r="L404" s="27">
        <f t="shared" si="26"/>
        <v>0</v>
      </c>
      <c r="M404" s="27">
        <f t="shared" si="26"/>
        <v>0</v>
      </c>
      <c r="N404" s="27">
        <f t="shared" si="26"/>
        <v>0</v>
      </c>
      <c r="O404" s="40">
        <f t="shared" si="26"/>
        <v>0</v>
      </c>
      <c r="P404" s="27">
        <f t="shared" si="26"/>
        <v>116007.79</v>
      </c>
    </row>
    <row r="405" ht="13.5" customHeight="1">
      <c r="C405" s="12"/>
    </row>
    <row r="406" spans="1:3" ht="13.5" customHeight="1">
      <c r="A406" s="16"/>
      <c r="B406" s="9" t="s">
        <v>105</v>
      </c>
      <c r="C406" s="30" t="s">
        <v>139</v>
      </c>
    </row>
    <row r="407" spans="1:16" ht="13.5" customHeight="1">
      <c r="A407" s="20"/>
      <c r="B407" s="20"/>
      <c r="C407" s="4" t="str">
        <f>C401</f>
        <v>Debt Reserve</v>
      </c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P407" s="43"/>
    </row>
    <row r="408" ht="13.5" customHeight="1">
      <c r="C408" s="4" t="str">
        <f>C402</f>
        <v>Treasury Fee</v>
      </c>
    </row>
    <row r="409" ht="13.5" customHeight="1" thickBot="1">
      <c r="C409" s="4" t="str">
        <f>C403</f>
        <v>Intercept</v>
      </c>
    </row>
    <row r="410" ht="13.5" customHeight="1" thickBot="1">
      <c r="C410" s="6" t="s">
        <v>138</v>
      </c>
    </row>
    <row r="411" ht="13.5" customHeight="1">
      <c r="C411" s="12"/>
    </row>
    <row r="412" spans="1:3" ht="13.5" customHeight="1">
      <c r="A412" s="16">
        <f>+A394+1</f>
        <v>14</v>
      </c>
      <c r="B412" s="21"/>
      <c r="C412" s="5" t="s">
        <v>140</v>
      </c>
    </row>
    <row r="413" spans="1:16" ht="13.5" customHeight="1">
      <c r="A413" s="20"/>
      <c r="B413" s="20"/>
      <c r="C413" s="4" t="str">
        <f>C407</f>
        <v>Debt Reserve</v>
      </c>
      <c r="D413" s="26">
        <v>369.58</v>
      </c>
      <c r="E413" s="26">
        <v>369.58</v>
      </c>
      <c r="F413" s="26">
        <v>369.58</v>
      </c>
      <c r="G413" s="26">
        <v>369.58</v>
      </c>
      <c r="H413" s="26">
        <v>369.58</v>
      </c>
      <c r="I413" s="26">
        <v>369.58</v>
      </c>
      <c r="J413" s="26">
        <v>369.58</v>
      </c>
      <c r="K413" s="26">
        <v>369.58</v>
      </c>
      <c r="L413" s="26">
        <v>369.58</v>
      </c>
      <c r="M413" s="26">
        <v>369.58</v>
      </c>
      <c r="N413" s="26">
        <v>369.58</v>
      </c>
      <c r="O413" s="39">
        <v>369.58</v>
      </c>
      <c r="P413" s="49">
        <f>SUM(D413:O413)</f>
        <v>4434.96</v>
      </c>
    </row>
    <row r="414" spans="3:16" ht="13.5" customHeight="1">
      <c r="C414" s="4" t="str">
        <f>C408</f>
        <v>Treasury Fee</v>
      </c>
      <c r="D414" s="47">
        <v>250</v>
      </c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55"/>
      <c r="P414" s="49">
        <f>SUM(D414:O414)</f>
        <v>250</v>
      </c>
    </row>
    <row r="415" spans="3:16" ht="13.5" customHeight="1" thickBot="1">
      <c r="C415" s="4" t="str">
        <f>C409</f>
        <v>Intercept</v>
      </c>
      <c r="D415" s="47">
        <f>12916.67+52127.61</f>
        <v>65044.28</v>
      </c>
      <c r="E415" s="47">
        <f>12916.67+52127.61</f>
        <v>65044.28</v>
      </c>
      <c r="F415" s="47">
        <f>12916.67+52127.61</f>
        <v>65044.28</v>
      </c>
      <c r="G415" s="47">
        <f>13333.33+51336.46</f>
        <v>64669.79</v>
      </c>
      <c r="H415" s="47">
        <f aca="true" t="shared" si="27" ref="H415:P415">13333.33+51336.46</f>
        <v>64669.79</v>
      </c>
      <c r="I415" s="47">
        <f t="shared" si="27"/>
        <v>64669.79</v>
      </c>
      <c r="J415" s="47">
        <f t="shared" si="27"/>
        <v>64669.79</v>
      </c>
      <c r="K415" s="47">
        <f t="shared" si="27"/>
        <v>64669.79</v>
      </c>
      <c r="L415" s="47">
        <f t="shared" si="27"/>
        <v>64669.79</v>
      </c>
      <c r="M415" s="47">
        <f t="shared" si="27"/>
        <v>64669.79</v>
      </c>
      <c r="N415" s="47">
        <f t="shared" si="27"/>
        <v>64669.79</v>
      </c>
      <c r="O415" s="55">
        <f t="shared" si="27"/>
        <v>64669.79</v>
      </c>
      <c r="P415" s="49">
        <f>SUM(D415:O415)</f>
        <v>777160.9500000001</v>
      </c>
    </row>
    <row r="416" spans="3:16" ht="13.5" customHeight="1" thickBot="1">
      <c r="C416" s="6" t="s">
        <v>141</v>
      </c>
      <c r="D416" s="50">
        <f aca="true" t="shared" si="28" ref="D416:P416">SUM(D413:D415)</f>
        <v>65663.86</v>
      </c>
      <c r="E416" s="50">
        <f t="shared" si="28"/>
        <v>65413.86</v>
      </c>
      <c r="F416" s="50">
        <f t="shared" si="28"/>
        <v>65413.86</v>
      </c>
      <c r="G416" s="50">
        <f t="shared" si="28"/>
        <v>65039.37</v>
      </c>
      <c r="H416" s="50">
        <f t="shared" si="28"/>
        <v>65039.37</v>
      </c>
      <c r="I416" s="50">
        <f t="shared" si="28"/>
        <v>65039.37</v>
      </c>
      <c r="J416" s="50">
        <f t="shared" si="28"/>
        <v>65039.37</v>
      </c>
      <c r="K416" s="50">
        <f t="shared" si="28"/>
        <v>65039.37</v>
      </c>
      <c r="L416" s="50">
        <f t="shared" si="28"/>
        <v>65039.37</v>
      </c>
      <c r="M416" s="50">
        <f t="shared" si="28"/>
        <v>65039.37</v>
      </c>
      <c r="N416" s="50">
        <f t="shared" si="28"/>
        <v>65039.37</v>
      </c>
      <c r="O416" s="52">
        <f t="shared" si="28"/>
        <v>65039.37</v>
      </c>
      <c r="P416" s="50">
        <f t="shared" si="28"/>
        <v>781845.91</v>
      </c>
    </row>
    <row r="417" ht="13.5" customHeight="1">
      <c r="C417" s="12"/>
    </row>
    <row r="418" spans="1:3" ht="13.5" customHeight="1">
      <c r="A418" s="16"/>
      <c r="B418" s="42" t="s">
        <v>105</v>
      </c>
      <c r="C418" s="30" t="s">
        <v>142</v>
      </c>
    </row>
    <row r="419" spans="1:16" ht="13.5" customHeight="1">
      <c r="A419" s="20"/>
      <c r="B419" s="20"/>
      <c r="C419" s="4" t="str">
        <f>C413</f>
        <v>Debt Reserve</v>
      </c>
      <c r="D419" s="26">
        <v>0</v>
      </c>
      <c r="E419" s="26">
        <v>0</v>
      </c>
      <c r="F419" s="26">
        <v>0</v>
      </c>
      <c r="G419" s="26">
        <v>0</v>
      </c>
      <c r="H419" s="26"/>
      <c r="I419" s="26"/>
      <c r="J419" s="26"/>
      <c r="K419" s="26"/>
      <c r="L419" s="26"/>
      <c r="M419" s="26"/>
      <c r="N419" s="26"/>
      <c r="O419" s="39"/>
      <c r="P419" s="26">
        <f>SUM(D419:O419)</f>
        <v>0</v>
      </c>
    </row>
    <row r="420" spans="3:16" ht="13.5" customHeight="1">
      <c r="C420" s="4" t="str">
        <f>C414</f>
        <v>Treasury Fee</v>
      </c>
      <c r="D420" s="47">
        <v>250</v>
      </c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55"/>
      <c r="P420" s="26">
        <f>SUM(D420:O420)</f>
        <v>250</v>
      </c>
    </row>
    <row r="421" spans="3:16" ht="13.5" customHeight="1" thickBot="1">
      <c r="C421" s="4" t="str">
        <f>C415</f>
        <v>Intercept</v>
      </c>
      <c r="D421" s="26">
        <f>10416.67+58750</f>
        <v>69166.67</v>
      </c>
      <c r="E421" s="26">
        <f>10416.67+58750</f>
        <v>69166.67</v>
      </c>
      <c r="F421" s="26">
        <f>10416.67+58750</f>
        <v>69166.67</v>
      </c>
      <c r="G421" s="26">
        <f>10416.67+58750</f>
        <v>69166.67</v>
      </c>
      <c r="H421" s="26"/>
      <c r="I421" s="26"/>
      <c r="J421" s="26"/>
      <c r="K421" s="26"/>
      <c r="L421" s="26"/>
      <c r="M421" s="26"/>
      <c r="N421" s="26"/>
      <c r="O421" s="55"/>
      <c r="P421" s="26">
        <f>SUM(D421:O421)</f>
        <v>276666.68</v>
      </c>
    </row>
    <row r="422" spans="3:16" ht="13.5" customHeight="1" thickBot="1">
      <c r="C422" s="6" t="s">
        <v>143</v>
      </c>
      <c r="D422" s="27">
        <f aca="true" t="shared" si="29" ref="D422:P422">SUM(D419:D421)</f>
        <v>69416.67</v>
      </c>
      <c r="E422" s="27">
        <f t="shared" si="29"/>
        <v>69166.67</v>
      </c>
      <c r="F422" s="27">
        <f t="shared" si="29"/>
        <v>69166.67</v>
      </c>
      <c r="G422" s="27">
        <f t="shared" si="29"/>
        <v>69166.67</v>
      </c>
      <c r="H422" s="27">
        <f t="shared" si="29"/>
        <v>0</v>
      </c>
      <c r="I422" s="27">
        <f t="shared" si="29"/>
        <v>0</v>
      </c>
      <c r="J422" s="27">
        <f t="shared" si="29"/>
        <v>0</v>
      </c>
      <c r="K422" s="27">
        <f t="shared" si="29"/>
        <v>0</v>
      </c>
      <c r="L422" s="27">
        <f t="shared" si="29"/>
        <v>0</v>
      </c>
      <c r="M422" s="27">
        <f t="shared" si="29"/>
        <v>0</v>
      </c>
      <c r="N422" s="27">
        <f t="shared" si="29"/>
        <v>0</v>
      </c>
      <c r="O422" s="40">
        <f t="shared" si="29"/>
        <v>0</v>
      </c>
      <c r="P422" s="27">
        <f t="shared" si="29"/>
        <v>276916.68</v>
      </c>
    </row>
    <row r="423" ht="13.5" customHeight="1">
      <c r="C423" s="12"/>
    </row>
    <row r="424" spans="1:3" ht="13.5" customHeight="1">
      <c r="A424" s="16"/>
      <c r="B424" s="42" t="s">
        <v>105</v>
      </c>
      <c r="C424" s="30" t="s">
        <v>144</v>
      </c>
    </row>
    <row r="425" spans="1:16" ht="13.5" customHeight="1">
      <c r="A425" s="20"/>
      <c r="B425" s="20"/>
      <c r="C425" s="4" t="str">
        <f>C419</f>
        <v>Debt Reserve</v>
      </c>
      <c r="D425" s="26">
        <v>0</v>
      </c>
      <c r="E425" s="26">
        <v>0</v>
      </c>
      <c r="F425" s="26">
        <v>0</v>
      </c>
      <c r="G425" s="26">
        <v>0</v>
      </c>
      <c r="H425" s="26"/>
      <c r="I425" s="26"/>
      <c r="J425" s="26"/>
      <c r="K425" s="26"/>
      <c r="L425" s="26"/>
      <c r="M425" s="26"/>
      <c r="N425" s="26"/>
      <c r="O425" s="39"/>
      <c r="P425" s="26">
        <f>SUM(D425:O425)</f>
        <v>0</v>
      </c>
    </row>
    <row r="426" spans="3:16" ht="13.5" customHeight="1">
      <c r="C426" s="4" t="str">
        <f>C420</f>
        <v>Treasury Fee</v>
      </c>
      <c r="D426" s="47">
        <v>250</v>
      </c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55"/>
      <c r="P426" s="26">
        <f>SUM(D426:O426)</f>
        <v>250</v>
      </c>
    </row>
    <row r="427" spans="3:16" ht="13.5" customHeight="1" thickBot="1">
      <c r="C427" s="4" t="str">
        <f>C421</f>
        <v>Intercept</v>
      </c>
      <c r="D427" s="26">
        <f>10833.33+46670.31</f>
        <v>57503.64</v>
      </c>
      <c r="E427" s="26">
        <f>10833.33+46670.31</f>
        <v>57503.64</v>
      </c>
      <c r="F427" s="26">
        <f>10833.33+46670.31</f>
        <v>57503.64</v>
      </c>
      <c r="G427" s="26">
        <f>10833.33+46670.31</f>
        <v>57503.64</v>
      </c>
      <c r="H427" s="26"/>
      <c r="I427" s="47"/>
      <c r="J427" s="47"/>
      <c r="K427" s="47"/>
      <c r="L427" s="47"/>
      <c r="M427" s="47"/>
      <c r="N427" s="47"/>
      <c r="O427" s="55"/>
      <c r="P427" s="26">
        <f>SUM(D427:O427)</f>
        <v>230014.56</v>
      </c>
    </row>
    <row r="428" spans="3:16" ht="13.5" customHeight="1" thickBot="1">
      <c r="C428" s="6" t="s">
        <v>145</v>
      </c>
      <c r="D428" s="27">
        <f aca="true" t="shared" si="30" ref="D428:P428">SUM(D425:D427)</f>
        <v>57753.64</v>
      </c>
      <c r="E428" s="27">
        <f t="shared" si="30"/>
        <v>57503.64</v>
      </c>
      <c r="F428" s="27">
        <f t="shared" si="30"/>
        <v>57503.64</v>
      </c>
      <c r="G428" s="27">
        <f t="shared" si="30"/>
        <v>57503.64</v>
      </c>
      <c r="H428" s="27">
        <f t="shared" si="30"/>
        <v>0</v>
      </c>
      <c r="I428" s="27">
        <f t="shared" si="30"/>
        <v>0</v>
      </c>
      <c r="J428" s="27">
        <f t="shared" si="30"/>
        <v>0</v>
      </c>
      <c r="K428" s="27">
        <f t="shared" si="30"/>
        <v>0</v>
      </c>
      <c r="L428" s="27">
        <f t="shared" si="30"/>
        <v>0</v>
      </c>
      <c r="M428" s="27">
        <f t="shared" si="30"/>
        <v>0</v>
      </c>
      <c r="N428" s="27">
        <f t="shared" si="30"/>
        <v>0</v>
      </c>
      <c r="O428" s="40">
        <f t="shared" si="30"/>
        <v>0</v>
      </c>
      <c r="P428" s="27">
        <f t="shared" si="30"/>
        <v>230264.56</v>
      </c>
    </row>
    <row r="429" ht="13.5" customHeight="1">
      <c r="C429" s="12"/>
    </row>
    <row r="430" spans="1:3" ht="13.5" customHeight="1">
      <c r="A430" s="16">
        <f>+A412+1</f>
        <v>15</v>
      </c>
      <c r="B430" s="21"/>
      <c r="C430" s="5" t="s">
        <v>146</v>
      </c>
    </row>
    <row r="431" spans="1:16" ht="13.5" customHeight="1">
      <c r="A431" s="20"/>
      <c r="B431" s="20"/>
      <c r="C431" s="4" t="str">
        <f>C425</f>
        <v>Debt Reserve</v>
      </c>
      <c r="D431" s="26">
        <v>0</v>
      </c>
      <c r="E431" s="26">
        <v>0</v>
      </c>
      <c r="F431" s="26">
        <v>0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0</v>
      </c>
      <c r="N431" s="26">
        <v>0</v>
      </c>
      <c r="O431" s="39">
        <v>0</v>
      </c>
      <c r="P431" s="26">
        <f>SUM(D431:O431)</f>
        <v>0</v>
      </c>
    </row>
    <row r="432" spans="3:16" ht="13.5" customHeight="1">
      <c r="C432" s="4" t="str">
        <f>C426</f>
        <v>Treasury Fee</v>
      </c>
      <c r="D432" s="47">
        <v>250</v>
      </c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55"/>
      <c r="P432" s="26">
        <f>SUM(D432:O432)</f>
        <v>250</v>
      </c>
    </row>
    <row r="433" spans="3:16" ht="13.5" customHeight="1" thickBot="1">
      <c r="C433" s="4" t="str">
        <f>C427</f>
        <v>Intercept</v>
      </c>
      <c r="D433" s="26">
        <f>10416.67+48750</f>
        <v>59166.67</v>
      </c>
      <c r="E433" s="26">
        <f>10416.67+48750</f>
        <v>59166.67</v>
      </c>
      <c r="F433" s="26">
        <f>10416.67+48750</f>
        <v>59166.67</v>
      </c>
      <c r="G433" s="26">
        <f>10416.67+48750</f>
        <v>59166.67</v>
      </c>
      <c r="H433" s="26">
        <f>10416.67+48750</f>
        <v>59166.67</v>
      </c>
      <c r="I433" s="47">
        <f>11250+47968.75</f>
        <v>59218.75</v>
      </c>
      <c r="J433" s="47">
        <f aca="true" t="shared" si="31" ref="J433:P433">11250+47968.75</f>
        <v>59218.75</v>
      </c>
      <c r="K433" s="47">
        <f t="shared" si="31"/>
        <v>59218.75</v>
      </c>
      <c r="L433" s="47">
        <f t="shared" si="31"/>
        <v>59218.75</v>
      </c>
      <c r="M433" s="47">
        <f t="shared" si="31"/>
        <v>59218.75</v>
      </c>
      <c r="N433" s="47">
        <f t="shared" si="31"/>
        <v>59218.75</v>
      </c>
      <c r="O433" s="55">
        <f t="shared" si="31"/>
        <v>59218.75</v>
      </c>
      <c r="P433" s="26">
        <f>SUM(D433:O433)</f>
        <v>710364.6</v>
      </c>
    </row>
    <row r="434" spans="3:16" ht="13.5" customHeight="1" thickBot="1">
      <c r="C434" s="6" t="s">
        <v>147</v>
      </c>
      <c r="D434" s="27">
        <f aca="true" t="shared" si="32" ref="D434:P434">SUM(D431:D433)</f>
        <v>59416.67</v>
      </c>
      <c r="E434" s="27">
        <f t="shared" si="32"/>
        <v>59166.67</v>
      </c>
      <c r="F434" s="27">
        <f t="shared" si="32"/>
        <v>59166.67</v>
      </c>
      <c r="G434" s="27">
        <f t="shared" si="32"/>
        <v>59166.67</v>
      </c>
      <c r="H434" s="27">
        <f t="shared" si="32"/>
        <v>59166.67</v>
      </c>
      <c r="I434" s="27">
        <f t="shared" si="32"/>
        <v>59218.75</v>
      </c>
      <c r="J434" s="27">
        <f t="shared" si="32"/>
        <v>59218.75</v>
      </c>
      <c r="K434" s="27">
        <f t="shared" si="32"/>
        <v>59218.75</v>
      </c>
      <c r="L434" s="27">
        <f t="shared" si="32"/>
        <v>59218.75</v>
      </c>
      <c r="M434" s="27">
        <f t="shared" si="32"/>
        <v>59218.75</v>
      </c>
      <c r="N434" s="27">
        <f t="shared" si="32"/>
        <v>59218.75</v>
      </c>
      <c r="O434" s="40">
        <f t="shared" si="32"/>
        <v>59218.75</v>
      </c>
      <c r="P434" s="27">
        <f t="shared" si="32"/>
        <v>710614.6</v>
      </c>
    </row>
    <row r="435" ht="13.5" customHeight="1">
      <c r="C435" s="12"/>
    </row>
    <row r="436" spans="1:3" ht="13.5" customHeight="1">
      <c r="A436" s="16">
        <f>+A430+1</f>
        <v>16</v>
      </c>
      <c r="B436" s="21"/>
      <c r="C436" s="5" t="s">
        <v>148</v>
      </c>
    </row>
    <row r="437" spans="1:16" ht="13.5" customHeight="1">
      <c r="A437" s="20"/>
      <c r="B437" s="20"/>
      <c r="C437" s="4" t="str">
        <f>C431</f>
        <v>Debt Reserve</v>
      </c>
      <c r="D437" s="26">
        <v>387.5</v>
      </c>
      <c r="E437" s="26">
        <v>387.5</v>
      </c>
      <c r="F437" s="26">
        <v>387.5</v>
      </c>
      <c r="G437" s="26">
        <v>387.5</v>
      </c>
      <c r="H437" s="51">
        <v>380</v>
      </c>
      <c r="I437" s="51">
        <v>380</v>
      </c>
      <c r="J437" s="51">
        <v>380</v>
      </c>
      <c r="K437" s="51">
        <v>380</v>
      </c>
      <c r="L437" s="51">
        <v>380</v>
      </c>
      <c r="M437" s="51">
        <v>0</v>
      </c>
      <c r="N437" s="51">
        <v>93.19</v>
      </c>
      <c r="O437" s="55">
        <v>157.73</v>
      </c>
      <c r="P437" s="26">
        <f>SUM(D437:O437)</f>
        <v>3700.92</v>
      </c>
    </row>
    <row r="438" spans="3:16" ht="13.5" customHeight="1">
      <c r="C438" s="4" t="str">
        <f>C432</f>
        <v>Treasury Fee</v>
      </c>
      <c r="D438" s="47">
        <v>250</v>
      </c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55"/>
      <c r="P438" s="26">
        <f>SUM(D438:O438)</f>
        <v>250</v>
      </c>
    </row>
    <row r="439" spans="3:16" ht="13.5" customHeight="1" thickBot="1">
      <c r="C439" s="4" t="str">
        <f>C433</f>
        <v>Intercept</v>
      </c>
      <c r="D439" s="47">
        <f>11250+25627.08</f>
        <v>36877.08</v>
      </c>
      <c r="E439" s="47">
        <f>11250+25627.08</f>
        <v>36877.08</v>
      </c>
      <c r="F439" s="47">
        <f>11250+25627.08</f>
        <v>36877.08</v>
      </c>
      <c r="G439" s="47">
        <f>11250+25627.1</f>
        <v>36877.1</v>
      </c>
      <c r="H439" s="47">
        <v>32936.06</v>
      </c>
      <c r="I439" s="47">
        <v>32936.06</v>
      </c>
      <c r="J439" s="47">
        <v>32936.06</v>
      </c>
      <c r="K439" s="47">
        <v>32936.06</v>
      </c>
      <c r="L439" s="47">
        <v>4230.43</v>
      </c>
      <c r="M439" s="47">
        <v>4230.43</v>
      </c>
      <c r="N439" s="47">
        <v>10306.99</v>
      </c>
      <c r="O439" s="55">
        <v>10306.99</v>
      </c>
      <c r="P439" s="26">
        <f>SUM(D439:O439)</f>
        <v>308327.4199999999</v>
      </c>
    </row>
    <row r="440" spans="3:16" ht="13.5" customHeight="1" thickBot="1">
      <c r="C440" s="6" t="s">
        <v>109</v>
      </c>
      <c r="D440" s="27">
        <f aca="true" t="shared" si="33" ref="D440:P440">SUM(D437:D439)</f>
        <v>37514.58</v>
      </c>
      <c r="E440" s="27">
        <f t="shared" si="33"/>
        <v>37264.58</v>
      </c>
      <c r="F440" s="27">
        <f t="shared" si="33"/>
        <v>37264.58</v>
      </c>
      <c r="G440" s="27">
        <f t="shared" si="33"/>
        <v>37264.6</v>
      </c>
      <c r="H440" s="27">
        <f t="shared" si="33"/>
        <v>33316.06</v>
      </c>
      <c r="I440" s="27">
        <f t="shared" si="33"/>
        <v>33316.06</v>
      </c>
      <c r="J440" s="27">
        <f t="shared" si="33"/>
        <v>33316.06</v>
      </c>
      <c r="K440" s="27">
        <f t="shared" si="33"/>
        <v>33316.06</v>
      </c>
      <c r="L440" s="27">
        <f t="shared" si="33"/>
        <v>4610.43</v>
      </c>
      <c r="M440" s="27">
        <f t="shared" si="33"/>
        <v>4230.43</v>
      </c>
      <c r="N440" s="27">
        <f t="shared" si="33"/>
        <v>10400.18</v>
      </c>
      <c r="O440" s="40">
        <f t="shared" si="33"/>
        <v>10464.72</v>
      </c>
      <c r="P440" s="27">
        <f t="shared" si="33"/>
        <v>312278.3399999999</v>
      </c>
    </row>
    <row r="441" ht="13.5" customHeight="1">
      <c r="C441" s="12"/>
    </row>
    <row r="442" spans="1:3" ht="13.5" customHeight="1">
      <c r="A442" s="16">
        <f>+A436+1</f>
        <v>17</v>
      </c>
      <c r="B442" s="21"/>
      <c r="C442" s="5" t="s">
        <v>149</v>
      </c>
    </row>
    <row r="443" spans="1:16" ht="13.5" customHeight="1">
      <c r="A443" s="20"/>
      <c r="B443" s="20"/>
      <c r="C443" s="4" t="str">
        <f>C437</f>
        <v>Debt Reserve</v>
      </c>
      <c r="D443" s="26">
        <v>209.58</v>
      </c>
      <c r="E443" s="26">
        <v>209.58</v>
      </c>
      <c r="F443" s="26">
        <v>209.58</v>
      </c>
      <c r="G443" s="26">
        <v>209.58</v>
      </c>
      <c r="H443" s="26">
        <v>209.58</v>
      </c>
      <c r="I443" s="26">
        <v>209.58</v>
      </c>
      <c r="J443" s="26">
        <v>209.58</v>
      </c>
      <c r="K443" s="26">
        <v>209.58</v>
      </c>
      <c r="L443" s="26">
        <v>209.58</v>
      </c>
      <c r="M443" s="26">
        <v>209.58</v>
      </c>
      <c r="N443" s="26">
        <v>209.58</v>
      </c>
      <c r="O443" s="39">
        <v>209.58</v>
      </c>
      <c r="P443" s="26">
        <f>SUM(D443:O443)</f>
        <v>2514.9599999999996</v>
      </c>
    </row>
    <row r="444" spans="3:16" ht="13.5" customHeight="1">
      <c r="C444" s="4" t="str">
        <f>C438</f>
        <v>Treasury Fee</v>
      </c>
      <c r="D444" s="47">
        <v>250</v>
      </c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55"/>
      <c r="P444" s="26">
        <f>SUM(D444:O444)</f>
        <v>250</v>
      </c>
    </row>
    <row r="445" spans="3:16" ht="13.5" customHeight="1" thickBot="1">
      <c r="C445" s="4" t="str">
        <f>C439</f>
        <v>Intercept</v>
      </c>
      <c r="D445" s="26">
        <f aca="true" t="shared" si="34" ref="D445:K445">5000+25589.06</f>
        <v>30589.06</v>
      </c>
      <c r="E445" s="26">
        <f t="shared" si="34"/>
        <v>30589.06</v>
      </c>
      <c r="F445" s="26">
        <f t="shared" si="34"/>
        <v>30589.06</v>
      </c>
      <c r="G445" s="26">
        <f t="shared" si="34"/>
        <v>30589.06</v>
      </c>
      <c r="H445" s="26">
        <f t="shared" si="34"/>
        <v>30589.06</v>
      </c>
      <c r="I445" s="26">
        <f t="shared" si="34"/>
        <v>30589.06</v>
      </c>
      <c r="J445" s="26">
        <f t="shared" si="34"/>
        <v>30589.06</v>
      </c>
      <c r="K445" s="26">
        <f t="shared" si="34"/>
        <v>30589.06</v>
      </c>
      <c r="L445" s="47">
        <f>5416.67+25214.06</f>
        <v>30630.730000000003</v>
      </c>
      <c r="M445" s="47">
        <f>5416.67+25214.06</f>
        <v>30630.730000000003</v>
      </c>
      <c r="N445" s="47">
        <f>5416.67+25214.06</f>
        <v>30630.730000000003</v>
      </c>
      <c r="O445" s="55">
        <f>5416.67+25214.06</f>
        <v>30630.730000000003</v>
      </c>
      <c r="P445" s="26">
        <f>SUM(D445:O445)</f>
        <v>367235.39999999997</v>
      </c>
    </row>
    <row r="446" spans="3:16" ht="13.5" customHeight="1" thickBot="1">
      <c r="C446" s="6" t="s">
        <v>120</v>
      </c>
      <c r="D446" s="27">
        <f aca="true" t="shared" si="35" ref="D446:P446">SUM(D443:D445)</f>
        <v>31048.640000000003</v>
      </c>
      <c r="E446" s="27">
        <f t="shared" si="35"/>
        <v>30798.640000000003</v>
      </c>
      <c r="F446" s="27">
        <f t="shared" si="35"/>
        <v>30798.640000000003</v>
      </c>
      <c r="G446" s="27">
        <f t="shared" si="35"/>
        <v>30798.640000000003</v>
      </c>
      <c r="H446" s="27">
        <f t="shared" si="35"/>
        <v>30798.640000000003</v>
      </c>
      <c r="I446" s="27">
        <f t="shared" si="35"/>
        <v>30798.640000000003</v>
      </c>
      <c r="J446" s="27">
        <f t="shared" si="35"/>
        <v>30798.640000000003</v>
      </c>
      <c r="K446" s="27">
        <f t="shared" si="35"/>
        <v>30798.640000000003</v>
      </c>
      <c r="L446" s="27">
        <f t="shared" si="35"/>
        <v>30840.310000000005</v>
      </c>
      <c r="M446" s="27">
        <f t="shared" si="35"/>
        <v>30840.310000000005</v>
      </c>
      <c r="N446" s="27">
        <f t="shared" si="35"/>
        <v>30840.310000000005</v>
      </c>
      <c r="O446" s="40">
        <f t="shared" si="35"/>
        <v>30840.310000000005</v>
      </c>
      <c r="P446" s="27">
        <f t="shared" si="35"/>
        <v>370000.36</v>
      </c>
    </row>
    <row r="447" ht="13.5" customHeight="1">
      <c r="C447" s="12"/>
    </row>
    <row r="448" spans="1:3" ht="13.5" customHeight="1">
      <c r="A448" s="16"/>
      <c r="B448" s="42" t="s">
        <v>105</v>
      </c>
      <c r="C448" s="30" t="s">
        <v>150</v>
      </c>
    </row>
    <row r="449" spans="1:16" ht="13.5" customHeight="1">
      <c r="A449" s="20"/>
      <c r="B449" s="20"/>
      <c r="C449" s="4" t="str">
        <f>C443</f>
        <v>Debt Reserve</v>
      </c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P449" s="43"/>
    </row>
    <row r="450" ht="13.5" customHeight="1">
      <c r="C450" s="4" t="str">
        <f>C444</f>
        <v>Treasury Fee</v>
      </c>
    </row>
    <row r="451" ht="13.5" customHeight="1" thickBot="1">
      <c r="C451" s="4" t="str">
        <f>C445</f>
        <v>Intercept</v>
      </c>
    </row>
    <row r="452" ht="13.5" customHeight="1" thickBot="1">
      <c r="C452" s="6" t="s">
        <v>151</v>
      </c>
    </row>
    <row r="453" ht="13.5" customHeight="1">
      <c r="C453" s="12"/>
    </row>
    <row r="454" spans="1:3" ht="13.5" customHeight="1">
      <c r="A454" s="16"/>
      <c r="B454" s="42" t="s">
        <v>105</v>
      </c>
      <c r="C454" s="30" t="s">
        <v>152</v>
      </c>
    </row>
    <row r="455" spans="1:16" ht="13.5" customHeight="1">
      <c r="A455" s="20"/>
      <c r="B455" s="20"/>
      <c r="C455" s="4" t="str">
        <f>C449</f>
        <v>Debt Reserve</v>
      </c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P455" s="43"/>
    </row>
    <row r="456" ht="13.5" customHeight="1">
      <c r="C456" s="4" t="str">
        <f>C450</f>
        <v>Treasury Fee</v>
      </c>
    </row>
    <row r="457" ht="13.5" customHeight="1" thickBot="1">
      <c r="C457" s="4" t="str">
        <f>C451</f>
        <v>Intercept</v>
      </c>
    </row>
    <row r="458" ht="13.5" customHeight="1" thickBot="1">
      <c r="C458" s="6" t="s">
        <v>75</v>
      </c>
    </row>
    <row r="459" ht="13.5" customHeight="1">
      <c r="C459" s="12"/>
    </row>
    <row r="460" spans="1:16" ht="13.5" customHeight="1">
      <c r="A460" s="48">
        <f>+A442+1</f>
        <v>18</v>
      </c>
      <c r="B460" s="21"/>
      <c r="C460" s="5" t="s">
        <v>153</v>
      </c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P460" s="43"/>
    </row>
    <row r="461" spans="1:16" ht="13.5" customHeight="1">
      <c r="A461" s="20"/>
      <c r="B461" s="20"/>
      <c r="C461" s="4" t="str">
        <f>C455</f>
        <v>Debt Reserve</v>
      </c>
      <c r="D461" s="26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39">
        <v>0</v>
      </c>
      <c r="P461" s="26">
        <f>SUM(D461:O461)</f>
        <v>0</v>
      </c>
    </row>
    <row r="462" spans="3:16" ht="13.5" customHeight="1">
      <c r="C462" s="4" t="str">
        <f>C456</f>
        <v>Treasury Fee</v>
      </c>
      <c r="D462" s="47">
        <v>250</v>
      </c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55"/>
      <c r="P462" s="26">
        <f>SUM(D462:O462)</f>
        <v>250</v>
      </c>
    </row>
    <row r="463" spans="3:16" ht="13.5" customHeight="1" thickBot="1">
      <c r="C463" s="4" t="str">
        <f>C457</f>
        <v>Intercept</v>
      </c>
      <c r="D463" s="26">
        <f aca="true" t="shared" si="36" ref="D463:K463">12916.67+10040.63</f>
        <v>22957.3</v>
      </c>
      <c r="E463" s="26">
        <f t="shared" si="36"/>
        <v>22957.3</v>
      </c>
      <c r="F463" s="26">
        <f t="shared" si="36"/>
        <v>22957.3</v>
      </c>
      <c r="G463" s="26">
        <f t="shared" si="36"/>
        <v>22957.3</v>
      </c>
      <c r="H463" s="26">
        <f t="shared" si="36"/>
        <v>22957.3</v>
      </c>
      <c r="I463" s="26">
        <f t="shared" si="36"/>
        <v>22957.3</v>
      </c>
      <c r="J463" s="26">
        <f t="shared" si="36"/>
        <v>22957.3</v>
      </c>
      <c r="K463" s="26">
        <f t="shared" si="36"/>
        <v>22957.3</v>
      </c>
      <c r="L463" s="47">
        <f>13333.33+9523.96</f>
        <v>22857.29</v>
      </c>
      <c r="M463" s="47">
        <f>13333.33+9523.96</f>
        <v>22857.29</v>
      </c>
      <c r="N463" s="47">
        <f>13333.33+9523.96</f>
        <v>22857.29</v>
      </c>
      <c r="O463" s="55">
        <f>13333.33+9523.96</f>
        <v>22857.29</v>
      </c>
      <c r="P463" s="26">
        <f>SUM(D463:O463)</f>
        <v>275087.56</v>
      </c>
    </row>
    <row r="464" spans="3:16" ht="13.5" customHeight="1" thickBot="1">
      <c r="C464" s="6" t="s">
        <v>154</v>
      </c>
      <c r="D464" s="27">
        <f aca="true" t="shared" si="37" ref="D464:P464">SUM(D461:D463)</f>
        <v>23207.3</v>
      </c>
      <c r="E464" s="27">
        <f t="shared" si="37"/>
        <v>22957.3</v>
      </c>
      <c r="F464" s="27">
        <f t="shared" si="37"/>
        <v>22957.3</v>
      </c>
      <c r="G464" s="27">
        <f t="shared" si="37"/>
        <v>22957.3</v>
      </c>
      <c r="H464" s="27">
        <f t="shared" si="37"/>
        <v>22957.3</v>
      </c>
      <c r="I464" s="27">
        <f t="shared" si="37"/>
        <v>22957.3</v>
      </c>
      <c r="J464" s="27">
        <f t="shared" si="37"/>
        <v>22957.3</v>
      </c>
      <c r="K464" s="27">
        <f t="shared" si="37"/>
        <v>22957.3</v>
      </c>
      <c r="L464" s="27">
        <f t="shared" si="37"/>
        <v>22857.29</v>
      </c>
      <c r="M464" s="27">
        <f t="shared" si="37"/>
        <v>22857.29</v>
      </c>
      <c r="N464" s="27">
        <f t="shared" si="37"/>
        <v>22857.29</v>
      </c>
      <c r="O464" s="40">
        <f t="shared" si="37"/>
        <v>22857.29</v>
      </c>
      <c r="P464" s="27">
        <f t="shared" si="37"/>
        <v>275337.56</v>
      </c>
    </row>
    <row r="465" ht="13.5" customHeight="1">
      <c r="C465" s="12"/>
    </row>
    <row r="466" spans="1:3" ht="13.5" customHeight="1">
      <c r="A466" s="16"/>
      <c r="B466" s="42" t="s">
        <v>105</v>
      </c>
      <c r="C466" s="30" t="s">
        <v>155</v>
      </c>
    </row>
    <row r="467" spans="1:16" ht="13.5" customHeight="1">
      <c r="A467" s="20"/>
      <c r="B467" s="20"/>
      <c r="C467" s="4" t="str">
        <f>C461</f>
        <v>Debt Reserve</v>
      </c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P467" s="43"/>
    </row>
    <row r="468" ht="13.5" customHeight="1">
      <c r="C468" s="4" t="str">
        <f>C462</f>
        <v>Treasury Fee</v>
      </c>
    </row>
    <row r="469" ht="13.5" customHeight="1" thickBot="1">
      <c r="C469" s="4" t="str">
        <f>C463</f>
        <v>Intercept</v>
      </c>
    </row>
    <row r="470" ht="13.5" customHeight="1" thickBot="1">
      <c r="C470" s="6" t="s">
        <v>156</v>
      </c>
    </row>
    <row r="471" ht="13.5" customHeight="1">
      <c r="C471" s="12"/>
    </row>
    <row r="472" spans="1:3" ht="13.5" customHeight="1">
      <c r="A472" s="16"/>
      <c r="B472" s="42" t="s">
        <v>105</v>
      </c>
      <c r="C472" s="30" t="s">
        <v>180</v>
      </c>
    </row>
    <row r="473" spans="1:16" ht="13.5" customHeight="1">
      <c r="A473" s="20"/>
      <c r="B473" s="20"/>
      <c r="C473" s="4" t="str">
        <f>C467</f>
        <v>Debt Reserve</v>
      </c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P473" s="43"/>
    </row>
    <row r="474" ht="13.5" customHeight="1">
      <c r="C474" s="4" t="str">
        <f>C468</f>
        <v>Treasury Fee</v>
      </c>
    </row>
    <row r="475" ht="13.5" customHeight="1" thickBot="1">
      <c r="C475" s="4" t="str">
        <f>C469</f>
        <v>Intercept</v>
      </c>
    </row>
    <row r="476" ht="13.5" customHeight="1" thickBot="1">
      <c r="C476" s="6" t="s">
        <v>159</v>
      </c>
    </row>
    <row r="477" ht="13.5" customHeight="1">
      <c r="C477" s="12"/>
    </row>
    <row r="478" spans="1:3" ht="13.5" customHeight="1">
      <c r="A478" s="16"/>
      <c r="B478" s="42" t="s">
        <v>105</v>
      </c>
      <c r="C478" s="30" t="s">
        <v>160</v>
      </c>
    </row>
    <row r="479" spans="1:16" ht="13.5" customHeight="1">
      <c r="A479" s="20"/>
      <c r="B479" s="20"/>
      <c r="C479" s="4" t="str">
        <f>C473</f>
        <v>Debt Reserve</v>
      </c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P479" s="43"/>
    </row>
    <row r="480" ht="13.5" customHeight="1">
      <c r="C480" s="4" t="str">
        <f>C474</f>
        <v>Treasury Fee</v>
      </c>
    </row>
    <row r="481" ht="13.5" customHeight="1" thickBot="1">
      <c r="C481" s="4" t="str">
        <f>C475</f>
        <v>Intercept</v>
      </c>
    </row>
    <row r="482" ht="13.5" customHeight="1" thickBot="1">
      <c r="C482" s="6" t="s">
        <v>161</v>
      </c>
    </row>
    <row r="483" ht="13.5" customHeight="1">
      <c r="C483" s="12"/>
    </row>
    <row r="484" spans="1:3" ht="13.5" customHeight="1">
      <c r="A484" s="16"/>
      <c r="B484" s="42" t="s">
        <v>105</v>
      </c>
      <c r="C484" s="30" t="s">
        <v>162</v>
      </c>
    </row>
    <row r="485" spans="1:16" ht="13.5" customHeight="1">
      <c r="A485" s="20"/>
      <c r="B485" s="20"/>
      <c r="C485" s="4" t="str">
        <f>C479</f>
        <v>Debt Reserve</v>
      </c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P485" s="43"/>
    </row>
    <row r="486" ht="13.5" customHeight="1">
      <c r="C486" s="4" t="str">
        <f>C480</f>
        <v>Treasury Fee</v>
      </c>
    </row>
    <row r="487" ht="13.5" customHeight="1" thickBot="1">
      <c r="C487" s="4" t="str">
        <f>C481</f>
        <v>Intercept</v>
      </c>
    </row>
    <row r="488" ht="13.5" customHeight="1" thickBot="1">
      <c r="C488" s="6" t="s">
        <v>163</v>
      </c>
    </row>
    <row r="489" ht="13.5" customHeight="1">
      <c r="C489" s="12"/>
    </row>
    <row r="490" spans="1:3" ht="13.5" customHeight="1">
      <c r="A490" s="16">
        <f>+A460+1</f>
        <v>19</v>
      </c>
      <c r="B490" s="21"/>
      <c r="C490" s="5" t="s">
        <v>164</v>
      </c>
    </row>
    <row r="491" spans="1:16" ht="13.5" customHeight="1">
      <c r="A491" s="20"/>
      <c r="B491" s="20"/>
      <c r="C491" s="4" t="str">
        <f>C485</f>
        <v>Debt Reserve</v>
      </c>
      <c r="D491" s="51">
        <v>665.42</v>
      </c>
      <c r="E491" s="51">
        <v>665.42</v>
      </c>
      <c r="F491" s="51">
        <v>665.42</v>
      </c>
      <c r="G491" s="51">
        <v>665.42</v>
      </c>
      <c r="H491" s="51">
        <v>665.42</v>
      </c>
      <c r="I491" s="51">
        <v>665.42</v>
      </c>
      <c r="J491" s="51">
        <v>665.42</v>
      </c>
      <c r="K491" s="51">
        <v>665.42</v>
      </c>
      <c r="L491" s="51">
        <v>665.42</v>
      </c>
      <c r="M491" s="51">
        <v>665.42</v>
      </c>
      <c r="N491" s="51">
        <v>665.42</v>
      </c>
      <c r="O491" s="55">
        <v>665.42</v>
      </c>
      <c r="P491" s="26">
        <f>SUM(D491:O491)</f>
        <v>7985.04</v>
      </c>
    </row>
    <row r="492" spans="3:16" ht="13.5" customHeight="1">
      <c r="C492" s="4" t="str">
        <f>C486</f>
        <v>Treasury Fee</v>
      </c>
      <c r="D492" s="47">
        <v>250</v>
      </c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55"/>
      <c r="P492" s="26">
        <f>SUM(D492:O492)</f>
        <v>250</v>
      </c>
    </row>
    <row r="493" spans="3:16" ht="13.5" customHeight="1" thickBot="1">
      <c r="C493" s="4" t="str">
        <f>C487</f>
        <v>Intercept</v>
      </c>
      <c r="D493" s="47">
        <f>24166.67+30076.04</f>
        <v>54242.71</v>
      </c>
      <c r="E493" s="47">
        <f>24166.67+30076.04</f>
        <v>54242.71</v>
      </c>
      <c r="F493" s="47">
        <f>24166.67+30076.04</f>
        <v>54242.71</v>
      </c>
      <c r="G493" s="47">
        <f>24166.67+30076.04</f>
        <v>54242.71</v>
      </c>
      <c r="H493" s="47">
        <f>24166.67+30076.04</f>
        <v>54242.71</v>
      </c>
      <c r="I493" s="47">
        <f>24166.65+30076.05</f>
        <v>54242.7</v>
      </c>
      <c r="J493" s="47">
        <f>23333.33+29683.33</f>
        <v>53016.66</v>
      </c>
      <c r="K493" s="47">
        <f>23333.35+29683.35</f>
        <v>53016.7</v>
      </c>
      <c r="L493" s="47">
        <f>23333.33+29683.33</f>
        <v>53016.66</v>
      </c>
      <c r="M493" s="47">
        <f>23333.33+29683.33</f>
        <v>53016.66</v>
      </c>
      <c r="N493" s="47">
        <f>23333.33+29683.33</f>
        <v>53016.66</v>
      </c>
      <c r="O493" s="55">
        <f>23333.33+29683.33</f>
        <v>53016.66</v>
      </c>
      <c r="P493" s="26">
        <f>SUM(D493:O493)</f>
        <v>643556.2500000001</v>
      </c>
    </row>
    <row r="494" spans="3:16" ht="13.5" customHeight="1" thickBot="1">
      <c r="C494" s="6" t="s">
        <v>165</v>
      </c>
      <c r="D494" s="27">
        <f aca="true" t="shared" si="38" ref="D494:P494">SUM(D491:D493)</f>
        <v>55158.13</v>
      </c>
      <c r="E494" s="27">
        <f t="shared" si="38"/>
        <v>54908.13</v>
      </c>
      <c r="F494" s="27">
        <f t="shared" si="38"/>
        <v>54908.13</v>
      </c>
      <c r="G494" s="27">
        <f t="shared" si="38"/>
        <v>54908.13</v>
      </c>
      <c r="H494" s="27">
        <f t="shared" si="38"/>
        <v>54908.13</v>
      </c>
      <c r="I494" s="27">
        <f t="shared" si="38"/>
        <v>54908.119999999995</v>
      </c>
      <c r="J494" s="27">
        <f t="shared" si="38"/>
        <v>53682.08</v>
      </c>
      <c r="K494" s="27">
        <f t="shared" si="38"/>
        <v>53682.119999999995</v>
      </c>
      <c r="L494" s="27">
        <f t="shared" si="38"/>
        <v>53682.08</v>
      </c>
      <c r="M494" s="27">
        <f t="shared" si="38"/>
        <v>53682.08</v>
      </c>
      <c r="N494" s="27">
        <f t="shared" si="38"/>
        <v>53682.08</v>
      </c>
      <c r="O494" s="40">
        <f t="shared" si="38"/>
        <v>53682.08</v>
      </c>
      <c r="P494" s="27">
        <f t="shared" si="38"/>
        <v>651791.2900000002</v>
      </c>
    </row>
    <row r="495" ht="13.5" customHeight="1">
      <c r="C495" s="12"/>
    </row>
    <row r="496" spans="1:3" ht="13.5" customHeight="1">
      <c r="A496" s="16">
        <f>+A490+1</f>
        <v>20</v>
      </c>
      <c r="B496" s="21"/>
      <c r="C496" s="5" t="s">
        <v>166</v>
      </c>
    </row>
    <row r="497" spans="1:16" ht="13.5" customHeight="1">
      <c r="A497" s="20"/>
      <c r="B497" s="20"/>
      <c r="C497" s="4" t="str">
        <f>C491</f>
        <v>Debt Reserve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39">
        <v>0</v>
      </c>
      <c r="P497" s="26">
        <f>SUM(D497:O497)</f>
        <v>0</v>
      </c>
    </row>
    <row r="498" spans="3:16" ht="13.5" customHeight="1">
      <c r="C498" s="4" t="str">
        <f>C492</f>
        <v>Treasury Fee</v>
      </c>
      <c r="D498" s="47">
        <v>250</v>
      </c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55"/>
      <c r="P498" s="26">
        <f>SUM(D498:O498)</f>
        <v>250</v>
      </c>
    </row>
    <row r="499" spans="3:16" ht="13.5" customHeight="1" thickBot="1">
      <c r="C499" s="4" t="str">
        <f>C493</f>
        <v>Intercept</v>
      </c>
      <c r="D499" s="26">
        <f>8750+40191.67</f>
        <v>48941.67</v>
      </c>
      <c r="E499" s="26">
        <f>8750+40191.67</f>
        <v>48941.67</v>
      </c>
      <c r="F499" s="26">
        <f>8750+40191.65</f>
        <v>48941.65</v>
      </c>
      <c r="G499" s="47">
        <f>9583.33+39579.16</f>
        <v>49162.490000000005</v>
      </c>
      <c r="H499" s="47">
        <f aca="true" t="shared" si="39" ref="H499:P499">9583.33+39579.16</f>
        <v>49162.490000000005</v>
      </c>
      <c r="I499" s="47">
        <f t="shared" si="39"/>
        <v>49162.490000000005</v>
      </c>
      <c r="J499" s="47">
        <f t="shared" si="39"/>
        <v>49162.490000000005</v>
      </c>
      <c r="K499" s="47">
        <f t="shared" si="39"/>
        <v>49162.490000000005</v>
      </c>
      <c r="L499" s="47">
        <f>9583.33+39579.2</f>
        <v>49162.53</v>
      </c>
      <c r="M499" s="47">
        <f t="shared" si="39"/>
        <v>49162.490000000005</v>
      </c>
      <c r="N499" s="47">
        <f t="shared" si="39"/>
        <v>49162.490000000005</v>
      </c>
      <c r="O499" s="55">
        <f t="shared" si="39"/>
        <v>49162.490000000005</v>
      </c>
      <c r="P499" s="26">
        <f>SUM(D499:O499)</f>
        <v>589287.44</v>
      </c>
    </row>
    <row r="500" spans="3:16" ht="13.5" customHeight="1" thickBot="1">
      <c r="C500" s="6" t="s">
        <v>167</v>
      </c>
      <c r="D500" s="27">
        <f aca="true" t="shared" si="40" ref="D500:P500">SUM(D497:D499)</f>
        <v>49191.67</v>
      </c>
      <c r="E500" s="27">
        <f t="shared" si="40"/>
        <v>48941.67</v>
      </c>
      <c r="F500" s="27">
        <f t="shared" si="40"/>
        <v>48941.65</v>
      </c>
      <c r="G500" s="27">
        <f t="shared" si="40"/>
        <v>49162.490000000005</v>
      </c>
      <c r="H500" s="27">
        <f t="shared" si="40"/>
        <v>49162.490000000005</v>
      </c>
      <c r="I500" s="27">
        <f t="shared" si="40"/>
        <v>49162.490000000005</v>
      </c>
      <c r="J500" s="27">
        <f t="shared" si="40"/>
        <v>49162.490000000005</v>
      </c>
      <c r="K500" s="27">
        <f t="shared" si="40"/>
        <v>49162.490000000005</v>
      </c>
      <c r="L500" s="27">
        <f t="shared" si="40"/>
        <v>49162.53</v>
      </c>
      <c r="M500" s="27">
        <f t="shared" si="40"/>
        <v>49162.490000000005</v>
      </c>
      <c r="N500" s="27">
        <f t="shared" si="40"/>
        <v>49162.490000000005</v>
      </c>
      <c r="O500" s="40">
        <f t="shared" si="40"/>
        <v>49162.490000000005</v>
      </c>
      <c r="P500" s="27">
        <f t="shared" si="40"/>
        <v>589537.44</v>
      </c>
    </row>
    <row r="501" ht="13.5" customHeight="1">
      <c r="C501" s="12"/>
    </row>
    <row r="502" spans="1:3" ht="13.5" customHeight="1">
      <c r="A502" s="16"/>
      <c r="B502" s="42" t="s">
        <v>105</v>
      </c>
      <c r="C502" s="30" t="s">
        <v>168</v>
      </c>
    </row>
    <row r="503" spans="1:16" ht="13.5" customHeight="1">
      <c r="A503" s="20"/>
      <c r="B503" s="20"/>
      <c r="C503" s="4" t="str">
        <f>C497</f>
        <v>Debt Reserve</v>
      </c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P503" s="43"/>
    </row>
    <row r="504" ht="13.5" customHeight="1">
      <c r="C504" s="4" t="str">
        <f>C498</f>
        <v>Treasury Fee</v>
      </c>
    </row>
    <row r="505" ht="13.5" customHeight="1" thickBot="1">
      <c r="C505" s="4" t="str">
        <f>C499</f>
        <v>Intercept</v>
      </c>
    </row>
    <row r="506" ht="13.5" customHeight="1" thickBot="1">
      <c r="C506" s="6" t="s">
        <v>169</v>
      </c>
    </row>
    <row r="507" ht="13.5" customHeight="1">
      <c r="C507" s="12"/>
    </row>
    <row r="508" spans="1:3" ht="13.5" customHeight="1">
      <c r="A508" s="16"/>
      <c r="B508" s="42" t="s">
        <v>105</v>
      </c>
      <c r="C508" s="30" t="s">
        <v>170</v>
      </c>
    </row>
    <row r="509" spans="1:16" ht="13.5" customHeight="1">
      <c r="A509" s="20"/>
      <c r="B509" s="20"/>
      <c r="C509" s="4" t="str">
        <f>C503</f>
        <v>Debt Reserve</v>
      </c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P509" s="43"/>
    </row>
    <row r="510" ht="13.5" customHeight="1">
      <c r="C510" s="4" t="str">
        <f>C504</f>
        <v>Treasury Fee</v>
      </c>
    </row>
    <row r="511" ht="13.5" customHeight="1" thickBot="1">
      <c r="C511" s="4" t="str">
        <f>C505</f>
        <v>Intercept</v>
      </c>
    </row>
    <row r="512" ht="13.5" customHeight="1" thickBot="1">
      <c r="C512" s="6" t="s">
        <v>116</v>
      </c>
    </row>
    <row r="513" ht="13.5" customHeight="1">
      <c r="C513" s="12"/>
    </row>
    <row r="514" spans="1:3" ht="13.5" customHeight="1">
      <c r="A514" s="16">
        <f>A496+1</f>
        <v>21</v>
      </c>
      <c r="B514" s="21"/>
      <c r="C514" s="5" t="s">
        <v>171</v>
      </c>
    </row>
    <row r="515" spans="1:16" ht="13.5" customHeight="1">
      <c r="A515" s="20"/>
      <c r="B515" s="20"/>
      <c r="C515" s="4" t="str">
        <f>C509</f>
        <v>Debt Reserve</v>
      </c>
      <c r="D515" s="26">
        <v>0</v>
      </c>
      <c r="E515" s="26">
        <v>0</v>
      </c>
      <c r="F515" s="26">
        <v>0</v>
      </c>
      <c r="G515" s="26">
        <v>0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39">
        <v>0</v>
      </c>
      <c r="P515" s="26">
        <f>SUM(D515:O515)</f>
        <v>0</v>
      </c>
    </row>
    <row r="516" spans="3:16" ht="13.5" customHeight="1">
      <c r="C516" s="4" t="str">
        <f>C510</f>
        <v>Treasury Fee</v>
      </c>
      <c r="D516" s="47">
        <v>250</v>
      </c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55"/>
      <c r="P516" s="26">
        <f>SUM(D516:O516)</f>
        <v>250</v>
      </c>
    </row>
    <row r="517" spans="3:16" ht="13.5" customHeight="1" thickBot="1">
      <c r="C517" s="4" t="str">
        <f>C511</f>
        <v>Intercept</v>
      </c>
      <c r="D517" s="47">
        <f>11250+28666.67</f>
        <v>39916.67</v>
      </c>
      <c r="E517" s="47">
        <f>11250+28666.67</f>
        <v>39916.67</v>
      </c>
      <c r="F517" s="47">
        <f>11250+28666.67</f>
        <v>39916.67</v>
      </c>
      <c r="G517" s="47">
        <f>11250+28666.65</f>
        <v>39916.65</v>
      </c>
      <c r="H517" s="47">
        <f>11666.67+28104.17</f>
        <v>39770.84</v>
      </c>
      <c r="I517" s="47">
        <f aca="true" t="shared" si="41" ref="I517:P517">11666.67+28104.17</f>
        <v>39770.84</v>
      </c>
      <c r="J517" s="47">
        <f t="shared" si="41"/>
        <v>39770.84</v>
      </c>
      <c r="K517" s="47">
        <f t="shared" si="41"/>
        <v>39770.84</v>
      </c>
      <c r="L517" s="47">
        <f t="shared" si="41"/>
        <v>39770.84</v>
      </c>
      <c r="M517" s="47">
        <f>11666.67+28104.15</f>
        <v>39770.82</v>
      </c>
      <c r="N517" s="47">
        <f t="shared" si="41"/>
        <v>39770.84</v>
      </c>
      <c r="O517" s="55">
        <f t="shared" si="41"/>
        <v>39770.84</v>
      </c>
      <c r="P517" s="26">
        <f>SUM(D517:O517)</f>
        <v>477833.36</v>
      </c>
    </row>
    <row r="518" spans="3:16" ht="13.5" customHeight="1" thickBot="1">
      <c r="C518" s="6" t="s">
        <v>172</v>
      </c>
      <c r="D518" s="27">
        <f aca="true" t="shared" si="42" ref="D518:P518">SUM(D515:D517)</f>
        <v>40166.67</v>
      </c>
      <c r="E518" s="27">
        <f t="shared" si="42"/>
        <v>39916.67</v>
      </c>
      <c r="F518" s="27">
        <f t="shared" si="42"/>
        <v>39916.67</v>
      </c>
      <c r="G518" s="27">
        <f t="shared" si="42"/>
        <v>39916.65</v>
      </c>
      <c r="H518" s="27">
        <f t="shared" si="42"/>
        <v>39770.84</v>
      </c>
      <c r="I518" s="27">
        <f t="shared" si="42"/>
        <v>39770.84</v>
      </c>
      <c r="J518" s="27">
        <f t="shared" si="42"/>
        <v>39770.84</v>
      </c>
      <c r="K518" s="27">
        <f t="shared" si="42"/>
        <v>39770.84</v>
      </c>
      <c r="L518" s="27">
        <f t="shared" si="42"/>
        <v>39770.84</v>
      </c>
      <c r="M518" s="27">
        <f t="shared" si="42"/>
        <v>39770.82</v>
      </c>
      <c r="N518" s="27">
        <f t="shared" si="42"/>
        <v>39770.84</v>
      </c>
      <c r="O518" s="40">
        <f t="shared" si="42"/>
        <v>39770.84</v>
      </c>
      <c r="P518" s="27">
        <f t="shared" si="42"/>
        <v>478083.36</v>
      </c>
    </row>
    <row r="519" ht="13.5" customHeight="1">
      <c r="C519" s="12"/>
    </row>
    <row r="520" spans="1:3" ht="13.5" customHeight="1">
      <c r="A520" s="16">
        <f>+A514+1</f>
        <v>22</v>
      </c>
      <c r="B520" s="33" t="s">
        <v>103</v>
      </c>
      <c r="C520" s="32" t="s">
        <v>173</v>
      </c>
    </row>
    <row r="521" spans="1:16" ht="13.5" customHeight="1">
      <c r="A521" s="20"/>
      <c r="B521" s="20"/>
      <c r="C521" s="4" t="str">
        <f>C515</f>
        <v>Debt Reserve</v>
      </c>
      <c r="D521" s="26">
        <v>1303.75</v>
      </c>
      <c r="E521" s="26">
        <v>1303.75</v>
      </c>
      <c r="F521" s="26">
        <v>1303.75</v>
      </c>
      <c r="G521" s="26">
        <v>1303.75</v>
      </c>
      <c r="H521" s="26">
        <v>1303.75</v>
      </c>
      <c r="I521" s="26">
        <v>1303.75</v>
      </c>
      <c r="J521" s="26">
        <v>1303.75</v>
      </c>
      <c r="K521" s="26">
        <v>1303.75</v>
      </c>
      <c r="L521" s="51">
        <v>1247.08</v>
      </c>
      <c r="M521" s="51">
        <v>1247.08</v>
      </c>
      <c r="N521" s="51">
        <v>1247.08</v>
      </c>
      <c r="O521" s="55">
        <v>1247.08</v>
      </c>
      <c r="P521" s="26">
        <f>SUM(D521:O521)</f>
        <v>15418.32</v>
      </c>
    </row>
    <row r="522" spans="3:16" ht="13.5" customHeight="1">
      <c r="C522" s="4" t="str">
        <f>C516</f>
        <v>Treasury Fee</v>
      </c>
      <c r="D522" s="47">
        <v>250</v>
      </c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55"/>
      <c r="P522" s="26">
        <f>SUM(D522:O522)</f>
        <v>250</v>
      </c>
    </row>
    <row r="523" spans="3:16" ht="13.5" customHeight="1" thickBot="1">
      <c r="C523" s="4" t="str">
        <f>C517</f>
        <v>Intercept</v>
      </c>
      <c r="D523" s="26">
        <f aca="true" t="shared" si="43" ref="D523:N523">59166.67+56353.13</f>
        <v>115519.79999999999</v>
      </c>
      <c r="E523" s="26">
        <f t="shared" si="43"/>
        <v>115519.79999999999</v>
      </c>
      <c r="F523" s="26">
        <f t="shared" si="43"/>
        <v>115519.79999999999</v>
      </c>
      <c r="G523" s="26">
        <f t="shared" si="43"/>
        <v>115519.79999999999</v>
      </c>
      <c r="H523" s="26">
        <f t="shared" si="43"/>
        <v>115519.79999999999</v>
      </c>
      <c r="I523" s="26">
        <f t="shared" si="43"/>
        <v>115519.79999999999</v>
      </c>
      <c r="J523" s="26">
        <f t="shared" si="43"/>
        <v>115519.79999999999</v>
      </c>
      <c r="K523" s="26">
        <f t="shared" si="43"/>
        <v>115519.79999999999</v>
      </c>
      <c r="L523" s="26">
        <f t="shared" si="43"/>
        <v>115519.79999999999</v>
      </c>
      <c r="M523" s="26">
        <f t="shared" si="43"/>
        <v>115519.79999999999</v>
      </c>
      <c r="N523" s="26">
        <f t="shared" si="43"/>
        <v>115519.79999999999</v>
      </c>
      <c r="O523" s="55">
        <f>62083.33+53394.79</f>
        <v>115478.12</v>
      </c>
      <c r="P523" s="26">
        <f>SUM(D523:O523)</f>
        <v>1386195.9200000004</v>
      </c>
    </row>
    <row r="524" spans="3:16" ht="13.5" customHeight="1" thickBot="1">
      <c r="C524" s="6" t="s">
        <v>129</v>
      </c>
      <c r="D524" s="27">
        <f aca="true" t="shared" si="44" ref="D524:P524">SUM(D521:D523)</f>
        <v>117073.54999999999</v>
      </c>
      <c r="E524" s="27">
        <f t="shared" si="44"/>
        <v>116823.54999999999</v>
      </c>
      <c r="F524" s="27">
        <f t="shared" si="44"/>
        <v>116823.54999999999</v>
      </c>
      <c r="G524" s="27">
        <f t="shared" si="44"/>
        <v>116823.54999999999</v>
      </c>
      <c r="H524" s="27">
        <f t="shared" si="44"/>
        <v>116823.54999999999</v>
      </c>
      <c r="I524" s="27">
        <f t="shared" si="44"/>
        <v>116823.54999999999</v>
      </c>
      <c r="J524" s="27">
        <f t="shared" si="44"/>
        <v>116823.54999999999</v>
      </c>
      <c r="K524" s="27">
        <f t="shared" si="44"/>
        <v>116823.54999999999</v>
      </c>
      <c r="L524" s="27">
        <f t="shared" si="44"/>
        <v>116766.87999999999</v>
      </c>
      <c r="M524" s="27">
        <f t="shared" si="44"/>
        <v>116766.87999999999</v>
      </c>
      <c r="N524" s="27">
        <f t="shared" si="44"/>
        <v>116766.87999999999</v>
      </c>
      <c r="O524" s="40">
        <f t="shared" si="44"/>
        <v>116725.2</v>
      </c>
      <c r="P524" s="27">
        <f t="shared" si="44"/>
        <v>1401864.2400000005</v>
      </c>
    </row>
    <row r="525" ht="13.5" customHeight="1">
      <c r="C525" s="12"/>
    </row>
    <row r="526" spans="1:3" ht="13.5" customHeight="1">
      <c r="A526" s="16">
        <f>+A520+1</f>
        <v>23</v>
      </c>
      <c r="B526" s="21"/>
      <c r="C526" s="5" t="s">
        <v>174</v>
      </c>
    </row>
    <row r="527" spans="1:16" ht="13.5" customHeight="1">
      <c r="A527" s="20"/>
      <c r="B527" s="20"/>
      <c r="C527" s="4" t="str">
        <f>C521</f>
        <v>Debt Reserve</v>
      </c>
      <c r="D527" s="26">
        <v>580.83</v>
      </c>
      <c r="E527" s="26">
        <v>580.83</v>
      </c>
      <c r="F527" s="26">
        <v>580.83</v>
      </c>
      <c r="G527" s="26">
        <v>580.83</v>
      </c>
      <c r="H527" s="26">
        <v>580.83</v>
      </c>
      <c r="I527" s="26">
        <v>580.83</v>
      </c>
      <c r="J527" s="26">
        <v>580.83</v>
      </c>
      <c r="K527" s="26">
        <v>580.83</v>
      </c>
      <c r="L527" s="26">
        <v>580.87</v>
      </c>
      <c r="M527" s="51">
        <v>567.5</v>
      </c>
      <c r="N527" s="51">
        <v>567.5</v>
      </c>
      <c r="O527" s="55">
        <v>567.5</v>
      </c>
      <c r="P527" s="26">
        <f>SUM(D527:O527)</f>
        <v>6930.01</v>
      </c>
    </row>
    <row r="528" spans="3:16" ht="13.5" customHeight="1">
      <c r="C528" s="4" t="str">
        <f>C522</f>
        <v>Treasury Fee</v>
      </c>
      <c r="D528" s="47">
        <v>250</v>
      </c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55"/>
      <c r="P528" s="26">
        <f>SUM(D528:O528)</f>
        <v>250</v>
      </c>
    </row>
    <row r="529" spans="3:16" ht="13.5" customHeight="1" thickBot="1">
      <c r="C529" s="4" t="str">
        <f>C523</f>
        <v>Intercept</v>
      </c>
      <c r="D529" s="26">
        <f aca="true" t="shared" si="45" ref="D529:J529">13333.33+25659.58</f>
        <v>38992.91</v>
      </c>
      <c r="E529" s="26">
        <f>13333.33+25659.6</f>
        <v>38992.93</v>
      </c>
      <c r="F529" s="26">
        <f t="shared" si="45"/>
        <v>38992.91</v>
      </c>
      <c r="G529" s="26">
        <f t="shared" si="45"/>
        <v>38992.91</v>
      </c>
      <c r="H529" s="26">
        <f t="shared" si="45"/>
        <v>38992.91</v>
      </c>
      <c r="I529" s="26">
        <f t="shared" si="45"/>
        <v>38992.91</v>
      </c>
      <c r="J529" s="26">
        <f t="shared" si="45"/>
        <v>38992.91</v>
      </c>
      <c r="K529" s="26">
        <f>13333.33+25659.6</f>
        <v>38992.93</v>
      </c>
      <c r="L529" s="47">
        <f>13750+25052.92</f>
        <v>38802.92</v>
      </c>
      <c r="M529" s="47">
        <f>13750+25052.92</f>
        <v>38802.92</v>
      </c>
      <c r="N529" s="47">
        <f>13750+25052.92</f>
        <v>38802.92</v>
      </c>
      <c r="O529" s="55">
        <f>13750+25052.92</f>
        <v>38802.92</v>
      </c>
      <c r="P529" s="26">
        <f>SUM(D529:O529)</f>
        <v>467154.99999999994</v>
      </c>
    </row>
    <row r="530" spans="3:16" ht="13.5" customHeight="1" thickBot="1">
      <c r="C530" s="6" t="s">
        <v>175</v>
      </c>
      <c r="D530" s="27">
        <f aca="true" t="shared" si="46" ref="D530:P530">SUM(D527:D529)</f>
        <v>39823.740000000005</v>
      </c>
      <c r="E530" s="27">
        <f t="shared" si="46"/>
        <v>39573.76</v>
      </c>
      <c r="F530" s="27">
        <f t="shared" si="46"/>
        <v>39573.740000000005</v>
      </c>
      <c r="G530" s="27">
        <f t="shared" si="46"/>
        <v>39573.740000000005</v>
      </c>
      <c r="H530" s="27">
        <f t="shared" si="46"/>
        <v>39573.740000000005</v>
      </c>
      <c r="I530" s="27">
        <f t="shared" si="46"/>
        <v>39573.740000000005</v>
      </c>
      <c r="J530" s="27">
        <f t="shared" si="46"/>
        <v>39573.740000000005</v>
      </c>
      <c r="K530" s="27">
        <f t="shared" si="46"/>
        <v>39573.76</v>
      </c>
      <c r="L530" s="27">
        <f t="shared" si="46"/>
        <v>39383.79</v>
      </c>
      <c r="M530" s="27">
        <f t="shared" si="46"/>
        <v>39370.42</v>
      </c>
      <c r="N530" s="27">
        <f t="shared" si="46"/>
        <v>39370.42</v>
      </c>
      <c r="O530" s="40">
        <f t="shared" si="46"/>
        <v>39370.42</v>
      </c>
      <c r="P530" s="27">
        <f t="shared" si="46"/>
        <v>474335.00999999995</v>
      </c>
    </row>
    <row r="531" ht="13.5" customHeight="1">
      <c r="C531" s="12"/>
    </row>
    <row r="532" spans="1:3" ht="13.5" customHeight="1">
      <c r="A532" s="16">
        <f>+A526+1</f>
        <v>24</v>
      </c>
      <c r="B532" s="21"/>
      <c r="C532" s="5" t="s">
        <v>176</v>
      </c>
    </row>
    <row r="533" spans="1:16" ht="13.5" customHeight="1">
      <c r="A533" s="20"/>
      <c r="B533" s="20"/>
      <c r="C533" s="4" t="str">
        <f>C527</f>
        <v>Debt Reserve</v>
      </c>
      <c r="D533" s="26">
        <v>431.92</v>
      </c>
      <c r="E533" s="26">
        <v>431.92</v>
      </c>
      <c r="F533" s="26">
        <v>431.92</v>
      </c>
      <c r="G533" s="26">
        <v>431.92</v>
      </c>
      <c r="H533" s="51">
        <v>431.91</v>
      </c>
      <c r="I533" s="51">
        <v>431.91</v>
      </c>
      <c r="J533" s="51">
        <v>431.91</v>
      </c>
      <c r="K533" s="51">
        <v>411.01</v>
      </c>
      <c r="L533" s="51">
        <v>411.01</v>
      </c>
      <c r="M533" s="51">
        <v>411.01</v>
      </c>
      <c r="N533" s="51">
        <v>411.01</v>
      </c>
      <c r="O533" s="55">
        <v>411.01</v>
      </c>
      <c r="P533" s="26">
        <f>SUM(D533:O533)</f>
        <v>5078.460000000001</v>
      </c>
    </row>
    <row r="534" spans="3:16" ht="13.5" customHeight="1">
      <c r="C534" s="4" t="str">
        <f>C528</f>
        <v>Treasury Fee</v>
      </c>
      <c r="D534" s="47">
        <v>250</v>
      </c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55"/>
      <c r="P534" s="26">
        <f>SUM(D534:O534)</f>
        <v>250</v>
      </c>
    </row>
    <row r="535" spans="3:16" ht="13.5" customHeight="1" thickBot="1">
      <c r="C535" s="4" t="str">
        <f>C529</f>
        <v>Intercept</v>
      </c>
      <c r="D535" s="47">
        <f>20908.88+13864.54</f>
        <v>34773.42</v>
      </c>
      <c r="E535" s="47">
        <f aca="true" t="shared" si="47" ref="E535:J535">20908.87+13864.54</f>
        <v>34773.41</v>
      </c>
      <c r="F535" s="47">
        <f t="shared" si="47"/>
        <v>34773.41</v>
      </c>
      <c r="G535" s="47">
        <f t="shared" si="47"/>
        <v>34773.41</v>
      </c>
      <c r="H535" s="47">
        <f t="shared" si="47"/>
        <v>34773.41</v>
      </c>
      <c r="I535" s="47">
        <f t="shared" si="47"/>
        <v>34773.41</v>
      </c>
      <c r="J535" s="47">
        <f t="shared" si="47"/>
        <v>34773.41</v>
      </c>
      <c r="K535" s="47">
        <f>21600.96+13193.37</f>
        <v>34794.33</v>
      </c>
      <c r="L535" s="47">
        <f>21600.96+13193.37</f>
        <v>34794.33</v>
      </c>
      <c r="M535" s="47">
        <f>21600.96+13193.37</f>
        <v>34794.33</v>
      </c>
      <c r="N535" s="47">
        <f>21600.96+13193.36</f>
        <v>34794.32</v>
      </c>
      <c r="O535" s="55">
        <f>21600.96+13193.36</f>
        <v>34794.32</v>
      </c>
      <c r="P535" s="26">
        <f>SUM(D535:O535)</f>
        <v>417385.51000000007</v>
      </c>
    </row>
    <row r="536" spans="3:16" ht="13.5" customHeight="1" thickBot="1">
      <c r="C536" s="6" t="s">
        <v>177</v>
      </c>
      <c r="D536" s="27">
        <f aca="true" t="shared" si="48" ref="D536:P536">SUM(D533:D535)</f>
        <v>35455.34</v>
      </c>
      <c r="E536" s="27">
        <f t="shared" si="48"/>
        <v>35205.33</v>
      </c>
      <c r="F536" s="27">
        <f t="shared" si="48"/>
        <v>35205.33</v>
      </c>
      <c r="G536" s="27">
        <f t="shared" si="48"/>
        <v>35205.33</v>
      </c>
      <c r="H536" s="27">
        <f t="shared" si="48"/>
        <v>35205.32000000001</v>
      </c>
      <c r="I536" s="27">
        <f t="shared" si="48"/>
        <v>35205.32000000001</v>
      </c>
      <c r="J536" s="27">
        <f t="shared" si="48"/>
        <v>35205.32000000001</v>
      </c>
      <c r="K536" s="27">
        <f t="shared" si="48"/>
        <v>35205.340000000004</v>
      </c>
      <c r="L536" s="27">
        <f t="shared" si="48"/>
        <v>35205.340000000004</v>
      </c>
      <c r="M536" s="27">
        <f t="shared" si="48"/>
        <v>35205.340000000004</v>
      </c>
      <c r="N536" s="27">
        <f t="shared" si="48"/>
        <v>35205.33</v>
      </c>
      <c r="O536" s="40">
        <f t="shared" si="48"/>
        <v>35205.33</v>
      </c>
      <c r="P536" s="27">
        <f t="shared" si="48"/>
        <v>422713.9700000001</v>
      </c>
    </row>
    <row r="537" ht="13.5" customHeight="1">
      <c r="C537" s="12"/>
    </row>
    <row r="538" spans="1:3" ht="13.5" customHeight="1">
      <c r="A538" s="16"/>
      <c r="B538" s="42" t="s">
        <v>105</v>
      </c>
      <c r="C538" s="30" t="s">
        <v>178</v>
      </c>
    </row>
    <row r="539" spans="1:16" ht="13.5" customHeight="1">
      <c r="A539" s="20"/>
      <c r="B539" s="20"/>
      <c r="C539" s="4" t="str">
        <f>C533</f>
        <v>Debt Reserve</v>
      </c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P539" s="43"/>
    </row>
    <row r="540" ht="13.5" customHeight="1">
      <c r="C540" s="4" t="str">
        <f>C534</f>
        <v>Treasury Fee</v>
      </c>
    </row>
    <row r="541" ht="13.5" customHeight="1" thickBot="1">
      <c r="C541" s="4" t="str">
        <f>C535</f>
        <v>Intercept</v>
      </c>
    </row>
    <row r="542" ht="13.5" customHeight="1" thickBot="1">
      <c r="C542" s="6" t="s">
        <v>124</v>
      </c>
    </row>
    <row r="543" ht="13.5" customHeight="1">
      <c r="C543" s="12"/>
    </row>
    <row r="544" spans="1:3" ht="13.5" customHeight="1">
      <c r="A544" s="16"/>
      <c r="B544" s="42" t="s">
        <v>105</v>
      </c>
      <c r="C544" s="30" t="s">
        <v>181</v>
      </c>
    </row>
    <row r="545" spans="1:16" ht="13.5" customHeight="1">
      <c r="A545" s="20"/>
      <c r="B545" s="20"/>
      <c r="C545" s="4" t="str">
        <f>C539</f>
        <v>Debt Reserve</v>
      </c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P545" s="43"/>
    </row>
    <row r="546" ht="13.5" customHeight="1">
      <c r="C546" s="4" t="str">
        <f>C540</f>
        <v>Treasury Fee</v>
      </c>
    </row>
    <row r="547" ht="13.5" customHeight="1" thickBot="1">
      <c r="C547" s="4" t="str">
        <f>C541</f>
        <v>Intercept</v>
      </c>
    </row>
    <row r="548" ht="13.5" customHeight="1" thickBot="1">
      <c r="C548" s="6" t="s">
        <v>159</v>
      </c>
    </row>
    <row r="549" ht="13.5" customHeight="1">
      <c r="C549" s="12"/>
    </row>
    <row r="550" spans="1:3" ht="13.5" customHeight="1">
      <c r="A550" s="16">
        <f>+A532+1</f>
        <v>25</v>
      </c>
      <c r="B550" s="45" t="s">
        <v>103</v>
      </c>
      <c r="C550" s="36" t="s">
        <v>179</v>
      </c>
    </row>
    <row r="551" spans="1:16" ht="13.5" customHeight="1">
      <c r="A551" s="20"/>
      <c r="B551" s="20"/>
      <c r="C551" s="4" t="str">
        <f>C545</f>
        <v>Debt Reserve</v>
      </c>
      <c r="D551" s="26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39">
        <v>0</v>
      </c>
      <c r="P551" s="26">
        <f>SUM(D551:O551)</f>
        <v>0</v>
      </c>
    </row>
    <row r="552" spans="3:16" ht="13.5" customHeight="1">
      <c r="C552" s="4" t="str">
        <f>C546</f>
        <v>Treasury Fee</v>
      </c>
      <c r="D552" s="47">
        <v>250</v>
      </c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55"/>
      <c r="P552" s="26">
        <f>SUM(D552:O552)</f>
        <v>250</v>
      </c>
    </row>
    <row r="553" spans="3:16" ht="13.5" customHeight="1" thickBot="1">
      <c r="C553" s="4" t="str">
        <f>C547</f>
        <v>Intercept</v>
      </c>
      <c r="D553" s="47">
        <f>5833.33+97780.63</f>
        <v>103613.96</v>
      </c>
      <c r="E553" s="47">
        <f aca="true" t="shared" si="49" ref="E553:O553">5833.33+97780.63</f>
        <v>103613.96</v>
      </c>
      <c r="F553" s="47">
        <f t="shared" si="49"/>
        <v>103613.96</v>
      </c>
      <c r="G553" s="47">
        <f t="shared" si="49"/>
        <v>103613.96</v>
      </c>
      <c r="H553" s="47">
        <f t="shared" si="49"/>
        <v>103613.96</v>
      </c>
      <c r="I553" s="47">
        <f t="shared" si="49"/>
        <v>103613.96</v>
      </c>
      <c r="J553" s="47">
        <f t="shared" si="49"/>
        <v>103613.96</v>
      </c>
      <c r="K553" s="47">
        <f t="shared" si="49"/>
        <v>103613.96</v>
      </c>
      <c r="L553" s="47">
        <f t="shared" si="49"/>
        <v>103613.96</v>
      </c>
      <c r="M553" s="47">
        <f t="shared" si="49"/>
        <v>103613.96</v>
      </c>
      <c r="N553" s="47">
        <f t="shared" si="49"/>
        <v>103613.96</v>
      </c>
      <c r="O553" s="55">
        <f t="shared" si="49"/>
        <v>103613.96</v>
      </c>
      <c r="P553" s="26">
        <f>SUM(D553:O553)</f>
        <v>1243367.5199999998</v>
      </c>
    </row>
    <row r="554" spans="3:16" ht="13.5" customHeight="1" thickBot="1">
      <c r="C554" s="6" t="s">
        <v>102</v>
      </c>
      <c r="D554" s="27">
        <f aca="true" t="shared" si="50" ref="D554:P554">SUM(D551:D553)</f>
        <v>103863.96</v>
      </c>
      <c r="E554" s="27">
        <f t="shared" si="50"/>
        <v>103613.96</v>
      </c>
      <c r="F554" s="27">
        <f t="shared" si="50"/>
        <v>103613.96</v>
      </c>
      <c r="G554" s="27">
        <f t="shared" si="50"/>
        <v>103613.96</v>
      </c>
      <c r="H554" s="27">
        <f t="shared" si="50"/>
        <v>103613.96</v>
      </c>
      <c r="I554" s="27">
        <f t="shared" si="50"/>
        <v>103613.96</v>
      </c>
      <c r="J554" s="27">
        <f t="shared" si="50"/>
        <v>103613.96</v>
      </c>
      <c r="K554" s="27">
        <f t="shared" si="50"/>
        <v>103613.96</v>
      </c>
      <c r="L554" s="27">
        <f t="shared" si="50"/>
        <v>103613.96</v>
      </c>
      <c r="M554" s="27">
        <f t="shared" si="50"/>
        <v>103613.96</v>
      </c>
      <c r="N554" s="27">
        <f t="shared" si="50"/>
        <v>103613.96</v>
      </c>
      <c r="O554" s="40">
        <f t="shared" si="50"/>
        <v>103613.96</v>
      </c>
      <c r="P554" s="27">
        <f t="shared" si="50"/>
        <v>1243617.5199999998</v>
      </c>
    </row>
    <row r="555" ht="13.5" customHeight="1">
      <c r="C555" s="12"/>
    </row>
    <row r="556" spans="1:3" ht="13.5" customHeight="1">
      <c r="A556" s="16"/>
      <c r="B556" s="42" t="s">
        <v>105</v>
      </c>
      <c r="C556" s="30" t="s">
        <v>182</v>
      </c>
    </row>
    <row r="557" spans="1:16" ht="13.5" customHeight="1">
      <c r="A557" s="20"/>
      <c r="B557" s="20"/>
      <c r="C557" s="4" t="str">
        <f>C551</f>
        <v>Debt Reserve</v>
      </c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P557" s="43"/>
    </row>
    <row r="558" ht="13.5" customHeight="1">
      <c r="C558" s="4" t="str">
        <f>C552</f>
        <v>Treasury Fee</v>
      </c>
    </row>
    <row r="559" ht="13.5" customHeight="1" thickBot="1">
      <c r="C559" s="4" t="str">
        <f>C553</f>
        <v>Intercept</v>
      </c>
    </row>
    <row r="560" ht="13.5" customHeight="1" thickBot="1">
      <c r="C560" s="6" t="s">
        <v>183</v>
      </c>
    </row>
    <row r="561" ht="13.5" customHeight="1">
      <c r="C561" s="12"/>
    </row>
    <row r="562" spans="1:3" ht="13.5" customHeight="1">
      <c r="A562" s="16"/>
      <c r="B562" s="42" t="s">
        <v>105</v>
      </c>
      <c r="C562" s="30" t="s">
        <v>184</v>
      </c>
    </row>
    <row r="563" spans="1:16" ht="13.5" customHeight="1">
      <c r="A563" s="20"/>
      <c r="B563" s="20"/>
      <c r="C563" s="4" t="str">
        <f>C557</f>
        <v>Debt Reserve</v>
      </c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P563" s="43"/>
    </row>
    <row r="564" ht="13.5" customHeight="1">
      <c r="C564" s="4" t="str">
        <f>C558</f>
        <v>Treasury Fee</v>
      </c>
    </row>
    <row r="565" ht="13.5" customHeight="1" thickBot="1">
      <c r="C565" s="4" t="str">
        <f>C559</f>
        <v>Intercept</v>
      </c>
    </row>
    <row r="566" ht="13.5" customHeight="1" thickBot="1">
      <c r="C566" s="6" t="s">
        <v>185</v>
      </c>
    </row>
    <row r="567" ht="13.5" customHeight="1">
      <c r="C567" s="12"/>
    </row>
    <row r="568" spans="1:3" ht="13.5" customHeight="1">
      <c r="A568" s="16"/>
      <c r="B568" s="42" t="s">
        <v>105</v>
      </c>
      <c r="C568" s="30" t="s">
        <v>186</v>
      </c>
    </row>
    <row r="569" spans="1:16" ht="13.5" customHeight="1">
      <c r="A569" s="20"/>
      <c r="B569" s="20"/>
      <c r="C569" s="4" t="str">
        <f>C563</f>
        <v>Debt Reserve</v>
      </c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P569" s="43"/>
    </row>
    <row r="570" ht="13.5" customHeight="1">
      <c r="C570" s="4" t="str">
        <f>C564</f>
        <v>Treasury Fee</v>
      </c>
    </row>
    <row r="571" ht="13.5" customHeight="1" thickBot="1">
      <c r="C571" s="4" t="str">
        <f>C565</f>
        <v>Intercept</v>
      </c>
    </row>
    <row r="572" ht="13.5" customHeight="1" thickBot="1">
      <c r="C572" s="6" t="s">
        <v>187</v>
      </c>
    </row>
    <row r="573" ht="13.5" customHeight="1">
      <c r="C573" s="12"/>
    </row>
    <row r="574" spans="1:3" ht="13.5" customHeight="1">
      <c r="A574" s="16">
        <f>+A550+1</f>
        <v>26</v>
      </c>
      <c r="B574" s="21"/>
      <c r="C574" s="5" t="s">
        <v>188</v>
      </c>
    </row>
    <row r="575" spans="1:16" ht="13.5" customHeight="1">
      <c r="A575" s="20"/>
      <c r="B575" s="20"/>
      <c r="C575" s="4" t="str">
        <f>C569</f>
        <v>Debt Reserve</v>
      </c>
      <c r="D575" s="26">
        <v>1172.5</v>
      </c>
      <c r="E575" s="26">
        <v>1172.5</v>
      </c>
      <c r="F575" s="26">
        <v>1172.5</v>
      </c>
      <c r="G575" s="26">
        <v>1172.5</v>
      </c>
      <c r="H575" s="26">
        <v>1172.5</v>
      </c>
      <c r="I575" s="26">
        <v>1172.5</v>
      </c>
      <c r="J575" s="26">
        <v>1172.5</v>
      </c>
      <c r="K575" s="26">
        <v>1172.5</v>
      </c>
      <c r="L575" s="47">
        <v>1147.08</v>
      </c>
      <c r="M575" s="47">
        <v>1147.08</v>
      </c>
      <c r="N575" s="47">
        <v>1147.08</v>
      </c>
      <c r="O575" s="55">
        <v>1147.08</v>
      </c>
      <c r="P575" s="26">
        <f>SUM(D575:O575)</f>
        <v>13968.32</v>
      </c>
    </row>
    <row r="576" spans="3:16" ht="13.5" customHeight="1">
      <c r="C576" s="4" t="str">
        <f>C570</f>
        <v>Treasury Fee</v>
      </c>
      <c r="D576" s="47">
        <v>250</v>
      </c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55"/>
      <c r="P576" s="26">
        <f>SUM(D576:O576)</f>
        <v>250</v>
      </c>
    </row>
    <row r="577" spans="3:16" ht="13.5" customHeight="1" thickBot="1">
      <c r="C577" s="4" t="str">
        <f>C571</f>
        <v>Intercept</v>
      </c>
      <c r="D577" s="26">
        <f aca="true" t="shared" si="51" ref="D577:P577">27500+61980.21</f>
        <v>89480.20999999999</v>
      </c>
      <c r="E577" s="26">
        <f t="shared" si="51"/>
        <v>89480.20999999999</v>
      </c>
      <c r="F577" s="26">
        <f t="shared" si="51"/>
        <v>89480.20999999999</v>
      </c>
      <c r="G577" s="26">
        <f t="shared" si="51"/>
        <v>89480.20999999999</v>
      </c>
      <c r="H577" s="26">
        <f t="shared" si="51"/>
        <v>89480.20999999999</v>
      </c>
      <c r="I577" s="26">
        <f t="shared" si="51"/>
        <v>89480.20999999999</v>
      </c>
      <c r="J577" s="47">
        <f>29166.67+60846.36</f>
        <v>90013.03</v>
      </c>
      <c r="K577" s="47">
        <f>29166.67+60846.36</f>
        <v>90013.03</v>
      </c>
      <c r="L577" s="47">
        <f>29166.67+60846.36</f>
        <v>90013.03</v>
      </c>
      <c r="M577" s="47">
        <f>29166.67+60846.36</f>
        <v>90013.03</v>
      </c>
      <c r="N577" s="47">
        <f>29166.67+60846.36</f>
        <v>90013.03</v>
      </c>
      <c r="O577" s="55">
        <f>29166.67+60846.33</f>
        <v>90013</v>
      </c>
      <c r="P577" s="26">
        <f>SUM(D577:O577)</f>
        <v>1076959.4100000001</v>
      </c>
    </row>
    <row r="578" spans="3:16" ht="13.5" customHeight="1" thickBot="1">
      <c r="C578" s="6" t="s">
        <v>189</v>
      </c>
      <c r="D578" s="27">
        <f aca="true" t="shared" si="52" ref="D578:P578">SUM(D575:D577)</f>
        <v>90902.70999999999</v>
      </c>
      <c r="E578" s="27">
        <f t="shared" si="52"/>
        <v>90652.70999999999</v>
      </c>
      <c r="F578" s="27">
        <f t="shared" si="52"/>
        <v>90652.70999999999</v>
      </c>
      <c r="G578" s="27">
        <f t="shared" si="52"/>
        <v>90652.70999999999</v>
      </c>
      <c r="H578" s="27">
        <f t="shared" si="52"/>
        <v>90652.70999999999</v>
      </c>
      <c r="I578" s="27">
        <f t="shared" si="52"/>
        <v>90652.70999999999</v>
      </c>
      <c r="J578" s="27">
        <f t="shared" si="52"/>
        <v>91185.53</v>
      </c>
      <c r="K578" s="27">
        <f t="shared" si="52"/>
        <v>91185.53</v>
      </c>
      <c r="L578" s="27">
        <f t="shared" si="52"/>
        <v>91160.11</v>
      </c>
      <c r="M578" s="27">
        <f t="shared" si="52"/>
        <v>91160.11</v>
      </c>
      <c r="N578" s="27">
        <f t="shared" si="52"/>
        <v>91160.11</v>
      </c>
      <c r="O578" s="40">
        <f t="shared" si="52"/>
        <v>91160.08</v>
      </c>
      <c r="P578" s="27">
        <f t="shared" si="52"/>
        <v>1091177.7300000002</v>
      </c>
    </row>
    <row r="579" ht="13.5" customHeight="1">
      <c r="C579" s="12"/>
    </row>
    <row r="580" spans="1:3" ht="13.5" customHeight="1">
      <c r="A580" s="16">
        <f>+A574+1</f>
        <v>27</v>
      </c>
      <c r="B580" s="21"/>
      <c r="C580" s="5" t="s">
        <v>190</v>
      </c>
    </row>
    <row r="581" spans="1:16" ht="13.5" customHeight="1">
      <c r="A581" s="20"/>
      <c r="B581" s="20"/>
      <c r="C581" s="4" t="str">
        <f>C575</f>
        <v>Debt Reserve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39">
        <v>0</v>
      </c>
      <c r="P581" s="26">
        <f>SUM(D581:O581)</f>
        <v>0</v>
      </c>
    </row>
    <row r="582" spans="3:16" ht="13.5" customHeight="1">
      <c r="C582" s="4" t="str">
        <f>C576</f>
        <v>Treasury Fee</v>
      </c>
      <c r="D582" s="47">
        <v>250</v>
      </c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55"/>
      <c r="P582" s="26">
        <f>SUM(D582:O582)</f>
        <v>250</v>
      </c>
    </row>
    <row r="583" spans="3:16" ht="13.5" customHeight="1" thickBot="1">
      <c r="C583" s="4" t="str">
        <f>C577</f>
        <v>Intercept</v>
      </c>
      <c r="D583" s="47">
        <f>19663.34+19661.16</f>
        <v>39324.5</v>
      </c>
      <c r="E583" s="47">
        <f>20056.62+19267.91</f>
        <v>39324.53</v>
      </c>
      <c r="F583" s="47">
        <f>20056.62+19267.91</f>
        <v>39324.53</v>
      </c>
      <c r="G583" s="47">
        <f>20056.62+19267.91</f>
        <v>39324.53</v>
      </c>
      <c r="H583" s="47">
        <f>20056.62+19267.91</f>
        <v>39324.53</v>
      </c>
      <c r="I583" s="47">
        <f>20056.62+19267.91</f>
        <v>39324.53</v>
      </c>
      <c r="J583" s="47">
        <f>20056.6+19267.91</f>
        <v>39324.509999999995</v>
      </c>
      <c r="K583" s="47">
        <f>20457.75+18866.78</f>
        <v>39324.53</v>
      </c>
      <c r="L583" s="47">
        <f>20457.75+18866.78</f>
        <v>39324.53</v>
      </c>
      <c r="M583" s="47">
        <f>20457.75+18866.78</f>
        <v>39324.53</v>
      </c>
      <c r="N583" s="47">
        <f>20457.75+18866.78</f>
        <v>39324.53</v>
      </c>
      <c r="O583" s="55">
        <f>20457.75+18866.78</f>
        <v>39324.53</v>
      </c>
      <c r="P583" s="26">
        <f>SUM(D583:O583)</f>
        <v>471894.31000000006</v>
      </c>
    </row>
    <row r="584" spans="3:16" ht="13.5" customHeight="1" thickBot="1">
      <c r="C584" s="6" t="s">
        <v>191</v>
      </c>
      <c r="D584" s="27">
        <f aca="true" t="shared" si="53" ref="D584:P584">SUM(D581:D583)</f>
        <v>39574.5</v>
      </c>
      <c r="E584" s="27">
        <f t="shared" si="53"/>
        <v>39324.53</v>
      </c>
      <c r="F584" s="27">
        <f t="shared" si="53"/>
        <v>39324.53</v>
      </c>
      <c r="G584" s="27">
        <f t="shared" si="53"/>
        <v>39324.53</v>
      </c>
      <c r="H584" s="27">
        <f t="shared" si="53"/>
        <v>39324.53</v>
      </c>
      <c r="I584" s="27">
        <f t="shared" si="53"/>
        <v>39324.53</v>
      </c>
      <c r="J584" s="27">
        <f t="shared" si="53"/>
        <v>39324.509999999995</v>
      </c>
      <c r="K584" s="27">
        <f t="shared" si="53"/>
        <v>39324.53</v>
      </c>
      <c r="L584" s="27">
        <f t="shared" si="53"/>
        <v>39324.53</v>
      </c>
      <c r="M584" s="27">
        <f t="shared" si="53"/>
        <v>39324.53</v>
      </c>
      <c r="N584" s="27">
        <f t="shared" si="53"/>
        <v>39324.53</v>
      </c>
      <c r="O584" s="40">
        <f t="shared" si="53"/>
        <v>39324.53</v>
      </c>
      <c r="P584" s="27">
        <f t="shared" si="53"/>
        <v>472144.31000000006</v>
      </c>
    </row>
    <row r="585" ht="13.5" customHeight="1">
      <c r="C585" s="12"/>
    </row>
    <row r="586" spans="1:3" ht="13.5" customHeight="1">
      <c r="A586" s="16">
        <f>+A580+1</f>
        <v>28</v>
      </c>
      <c r="B586" s="21"/>
      <c r="C586" s="5" t="s">
        <v>192</v>
      </c>
    </row>
    <row r="587" spans="1:16" ht="13.5" customHeight="1">
      <c r="A587" s="20"/>
      <c r="B587" s="20"/>
      <c r="C587" s="4" t="str">
        <f>C581</f>
        <v>Debt Reserve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39">
        <v>0</v>
      </c>
      <c r="P587" s="26">
        <f>SUM(D587:O587)</f>
        <v>0</v>
      </c>
    </row>
    <row r="588" spans="3:16" ht="13.5" customHeight="1">
      <c r="C588" s="4" t="str">
        <f>C582</f>
        <v>Treasury Fee</v>
      </c>
      <c r="D588" s="47">
        <v>250</v>
      </c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55"/>
      <c r="P588" s="26">
        <f>SUM(D588:O588)</f>
        <v>250</v>
      </c>
    </row>
    <row r="589" spans="3:16" ht="13.5" customHeight="1" thickBot="1">
      <c r="C589" s="4" t="str">
        <f>C583</f>
        <v>Intercept</v>
      </c>
      <c r="D589" s="47">
        <f>4500+15671.04</f>
        <v>20171.04</v>
      </c>
      <c r="E589" s="47">
        <f>4500+15671.04</f>
        <v>20171.04</v>
      </c>
      <c r="F589" s="47">
        <f>4500+15671.04</f>
        <v>20171.04</v>
      </c>
      <c r="G589" s="47">
        <f>4500+15671.05</f>
        <v>20171.05</v>
      </c>
      <c r="H589" s="47">
        <f>4166.67+15470.42</f>
        <v>19637.09</v>
      </c>
      <c r="I589" s="47">
        <f aca="true" t="shared" si="54" ref="I589:P589">4166.67+15470.42</f>
        <v>19637.09</v>
      </c>
      <c r="J589" s="47">
        <f t="shared" si="54"/>
        <v>19637.09</v>
      </c>
      <c r="K589" s="47">
        <f t="shared" si="54"/>
        <v>19637.09</v>
      </c>
      <c r="L589" s="47">
        <f t="shared" si="54"/>
        <v>19637.09</v>
      </c>
      <c r="M589" s="47">
        <f>4166.67+15470.4</f>
        <v>19637.07</v>
      </c>
      <c r="N589" s="47">
        <f t="shared" si="54"/>
        <v>19637.09</v>
      </c>
      <c r="O589" s="55">
        <f t="shared" si="54"/>
        <v>19637.09</v>
      </c>
      <c r="P589" s="26">
        <f>SUM(D589:O589)</f>
        <v>237780.87</v>
      </c>
    </row>
    <row r="590" spans="3:16" ht="13.5" customHeight="1" thickBot="1">
      <c r="C590" s="6" t="s">
        <v>193</v>
      </c>
      <c r="D590" s="27">
        <f aca="true" t="shared" si="55" ref="D590:P590">SUM(D587:D589)</f>
        <v>20421.04</v>
      </c>
      <c r="E590" s="27">
        <f t="shared" si="55"/>
        <v>20171.04</v>
      </c>
      <c r="F590" s="27">
        <f t="shared" si="55"/>
        <v>20171.04</v>
      </c>
      <c r="G590" s="27">
        <f t="shared" si="55"/>
        <v>20171.05</v>
      </c>
      <c r="H590" s="27">
        <f t="shared" si="55"/>
        <v>19637.09</v>
      </c>
      <c r="I590" s="27">
        <f t="shared" si="55"/>
        <v>19637.09</v>
      </c>
      <c r="J590" s="27">
        <f t="shared" si="55"/>
        <v>19637.09</v>
      </c>
      <c r="K590" s="27">
        <f t="shared" si="55"/>
        <v>19637.09</v>
      </c>
      <c r="L590" s="27">
        <f t="shared" si="55"/>
        <v>19637.09</v>
      </c>
      <c r="M590" s="27">
        <f t="shared" si="55"/>
        <v>19637.07</v>
      </c>
      <c r="N590" s="27">
        <f t="shared" si="55"/>
        <v>19637.09</v>
      </c>
      <c r="O590" s="40">
        <f t="shared" si="55"/>
        <v>19637.09</v>
      </c>
      <c r="P590" s="27">
        <f t="shared" si="55"/>
        <v>238030.87</v>
      </c>
    </row>
    <row r="591" ht="13.5" customHeight="1">
      <c r="C591" s="12"/>
    </row>
    <row r="592" spans="1:3" ht="13.5" customHeight="1">
      <c r="A592" s="16">
        <f>+A586+1</f>
        <v>29</v>
      </c>
      <c r="B592" s="21"/>
      <c r="C592" s="5" t="s">
        <v>194</v>
      </c>
    </row>
    <row r="593" spans="1:16" ht="13.5" customHeight="1">
      <c r="A593" s="20"/>
      <c r="B593" s="20"/>
      <c r="C593" s="4" t="str">
        <f>C587</f>
        <v>Debt Reserve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39">
        <v>0</v>
      </c>
      <c r="P593" s="26">
        <f>SUM(D593:O593)</f>
        <v>0</v>
      </c>
    </row>
    <row r="594" spans="3:16" ht="13.5" customHeight="1">
      <c r="C594" s="4" t="str">
        <f>C588</f>
        <v>Treasury Fee</v>
      </c>
      <c r="D594" s="47">
        <v>250</v>
      </c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55"/>
      <c r="P594" s="26">
        <f>SUM(D594:O594)</f>
        <v>250</v>
      </c>
    </row>
    <row r="595" spans="3:16" ht="13.5" customHeight="1" thickBot="1">
      <c r="C595" s="4" t="str">
        <f>C589</f>
        <v>Intercept</v>
      </c>
      <c r="D595" s="47">
        <f aca="true" t="shared" si="56" ref="D595:M595">33750+123610.42</f>
        <v>157360.41999999998</v>
      </c>
      <c r="E595" s="47">
        <f t="shared" si="56"/>
        <v>157360.41999999998</v>
      </c>
      <c r="F595" s="47">
        <f t="shared" si="56"/>
        <v>157360.41999999998</v>
      </c>
      <c r="G595" s="47">
        <f t="shared" si="56"/>
        <v>157360.41999999998</v>
      </c>
      <c r="H595" s="47">
        <f t="shared" si="56"/>
        <v>157360.41999999998</v>
      </c>
      <c r="I595" s="47">
        <f t="shared" si="56"/>
        <v>157360.41999999998</v>
      </c>
      <c r="J595" s="47">
        <f t="shared" si="56"/>
        <v>157360.41999999998</v>
      </c>
      <c r="K595" s="47">
        <f t="shared" si="56"/>
        <v>157360.41999999998</v>
      </c>
      <c r="L595" s="47">
        <f t="shared" si="56"/>
        <v>157360.41999999998</v>
      </c>
      <c r="M595" s="47">
        <f t="shared" si="56"/>
        <v>157360.41999999998</v>
      </c>
      <c r="N595" s="47">
        <f>35833.33+122218.23</f>
        <v>158051.56</v>
      </c>
      <c r="O595" s="55">
        <f>35833.33+122218.23</f>
        <v>158051.56</v>
      </c>
      <c r="P595" s="26">
        <f>SUM(D595:O595)</f>
        <v>1889707.3199999996</v>
      </c>
    </row>
    <row r="596" spans="3:16" ht="13.5" customHeight="1" thickBot="1">
      <c r="C596" s="6" t="s">
        <v>161</v>
      </c>
      <c r="D596" s="27">
        <f aca="true" t="shared" si="57" ref="D596:P596">SUM(D593:D595)</f>
        <v>157610.41999999998</v>
      </c>
      <c r="E596" s="27">
        <f t="shared" si="57"/>
        <v>157360.41999999998</v>
      </c>
      <c r="F596" s="27">
        <f t="shared" si="57"/>
        <v>157360.41999999998</v>
      </c>
      <c r="G596" s="27">
        <f t="shared" si="57"/>
        <v>157360.41999999998</v>
      </c>
      <c r="H596" s="27">
        <f t="shared" si="57"/>
        <v>157360.41999999998</v>
      </c>
      <c r="I596" s="27">
        <f t="shared" si="57"/>
        <v>157360.41999999998</v>
      </c>
      <c r="J596" s="27">
        <f t="shared" si="57"/>
        <v>157360.41999999998</v>
      </c>
      <c r="K596" s="27">
        <f t="shared" si="57"/>
        <v>157360.41999999998</v>
      </c>
      <c r="L596" s="27">
        <f t="shared" si="57"/>
        <v>157360.41999999998</v>
      </c>
      <c r="M596" s="27">
        <f t="shared" si="57"/>
        <v>157360.41999999998</v>
      </c>
      <c r="N596" s="27">
        <f t="shared" si="57"/>
        <v>158051.56</v>
      </c>
      <c r="O596" s="40">
        <f t="shared" si="57"/>
        <v>158051.56</v>
      </c>
      <c r="P596" s="27">
        <f t="shared" si="57"/>
        <v>1889957.3199999996</v>
      </c>
    </row>
    <row r="597" ht="13.5" customHeight="1">
      <c r="C597" s="12"/>
    </row>
    <row r="598" spans="1:3" ht="13.5" customHeight="1">
      <c r="A598" s="16">
        <f>+A592+1</f>
        <v>30</v>
      </c>
      <c r="B598" s="21"/>
      <c r="C598" s="5" t="s">
        <v>195</v>
      </c>
    </row>
    <row r="599" spans="1:16" ht="13.5" customHeight="1">
      <c r="A599" s="20"/>
      <c r="B599" s="20"/>
      <c r="C599" s="4" t="str">
        <f>C593</f>
        <v>Debt Reserve</v>
      </c>
      <c r="D599" s="47">
        <v>1285.42</v>
      </c>
      <c r="E599" s="47">
        <v>1285.42</v>
      </c>
      <c r="F599" s="47">
        <v>1285.42</v>
      </c>
      <c r="G599" s="47">
        <v>1285.42</v>
      </c>
      <c r="H599" s="47">
        <v>1285.42</v>
      </c>
      <c r="I599" s="47">
        <v>1285.42</v>
      </c>
      <c r="J599" s="47">
        <v>1285.42</v>
      </c>
      <c r="K599" s="47">
        <v>1285.42</v>
      </c>
      <c r="L599" s="47">
        <v>1285.42</v>
      </c>
      <c r="M599" s="47">
        <v>1285.42</v>
      </c>
      <c r="N599" s="47">
        <v>1285.42</v>
      </c>
      <c r="O599" s="55">
        <v>1285.42</v>
      </c>
      <c r="P599" s="26">
        <f>SUM(D599:O599)</f>
        <v>15425.04</v>
      </c>
    </row>
    <row r="600" spans="3:16" ht="13.5" customHeight="1">
      <c r="C600" s="4" t="str">
        <f>C594</f>
        <v>Treasury Fee</v>
      </c>
      <c r="D600" s="47">
        <v>250</v>
      </c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55"/>
      <c r="P600" s="26">
        <f>SUM(D600:O600)</f>
        <v>250</v>
      </c>
    </row>
    <row r="601" spans="3:16" ht="13.5" customHeight="1" thickBot="1">
      <c r="C601" s="4" t="str">
        <f>C595</f>
        <v>Intercept</v>
      </c>
      <c r="D601" s="47">
        <f>54583.33+63620.83</f>
        <v>118204.16</v>
      </c>
      <c r="E601" s="47">
        <f>56666.67+61479.17</f>
        <v>118145.84</v>
      </c>
      <c r="F601" s="47">
        <f aca="true" t="shared" si="58" ref="F601:P601">56666.67+61479.17</f>
        <v>118145.84</v>
      </c>
      <c r="G601" s="47">
        <f t="shared" si="58"/>
        <v>118145.84</v>
      </c>
      <c r="H601" s="47">
        <f t="shared" si="58"/>
        <v>118145.84</v>
      </c>
      <c r="I601" s="47">
        <f t="shared" si="58"/>
        <v>118145.84</v>
      </c>
      <c r="J601" s="47">
        <f t="shared" si="58"/>
        <v>118145.84</v>
      </c>
      <c r="K601" s="47">
        <f t="shared" si="58"/>
        <v>118145.84</v>
      </c>
      <c r="L601" s="47">
        <f t="shared" si="58"/>
        <v>118145.84</v>
      </c>
      <c r="M601" s="47">
        <f t="shared" si="58"/>
        <v>118145.84</v>
      </c>
      <c r="N601" s="47">
        <f t="shared" si="58"/>
        <v>118145.84</v>
      </c>
      <c r="O601" s="55">
        <f t="shared" si="58"/>
        <v>118145.84</v>
      </c>
      <c r="P601" s="26">
        <f>SUM(D601:O601)</f>
        <v>1417808.4000000001</v>
      </c>
    </row>
    <row r="602" spans="3:16" ht="13.5" customHeight="1" thickBot="1">
      <c r="C602" s="6" t="s">
        <v>22</v>
      </c>
      <c r="D602" s="27">
        <f aca="true" t="shared" si="59" ref="D602:P602">SUM(D599:D601)</f>
        <v>119739.58</v>
      </c>
      <c r="E602" s="27">
        <f t="shared" si="59"/>
        <v>119431.26</v>
      </c>
      <c r="F602" s="27">
        <f t="shared" si="59"/>
        <v>119431.26</v>
      </c>
      <c r="G602" s="27">
        <f t="shared" si="59"/>
        <v>119431.26</v>
      </c>
      <c r="H602" s="27">
        <f t="shared" si="59"/>
        <v>119431.26</v>
      </c>
      <c r="I602" s="27">
        <f t="shared" si="59"/>
        <v>119431.26</v>
      </c>
      <c r="J602" s="27">
        <f t="shared" si="59"/>
        <v>119431.26</v>
      </c>
      <c r="K602" s="27">
        <f t="shared" si="59"/>
        <v>119431.26</v>
      </c>
      <c r="L602" s="27">
        <f t="shared" si="59"/>
        <v>119431.26</v>
      </c>
      <c r="M602" s="27">
        <f t="shared" si="59"/>
        <v>119431.26</v>
      </c>
      <c r="N602" s="27">
        <f t="shared" si="59"/>
        <v>119431.26</v>
      </c>
      <c r="O602" s="40">
        <f t="shared" si="59"/>
        <v>119431.26</v>
      </c>
      <c r="P602" s="27">
        <f t="shared" si="59"/>
        <v>1433483.4400000002</v>
      </c>
    </row>
    <row r="603" ht="13.5" customHeight="1">
      <c r="C603" s="12"/>
    </row>
    <row r="604" spans="1:3" ht="13.5" customHeight="1">
      <c r="A604" s="16">
        <f>+A598+1</f>
        <v>31</v>
      </c>
      <c r="B604" s="21"/>
      <c r="C604" s="5" t="s">
        <v>200</v>
      </c>
    </row>
    <row r="605" spans="1:16" ht="13.5" customHeight="1">
      <c r="A605" s="20"/>
      <c r="B605" s="20"/>
      <c r="C605" s="4" t="str">
        <f>C599</f>
        <v>Debt Reserve</v>
      </c>
      <c r="D605" s="26">
        <v>1730.83</v>
      </c>
      <c r="E605" s="26">
        <v>1730.83</v>
      </c>
      <c r="F605" s="26">
        <v>1730.83</v>
      </c>
      <c r="G605" s="26">
        <v>1730.83</v>
      </c>
      <c r="H605" s="47">
        <v>1695</v>
      </c>
      <c r="I605" s="47">
        <v>1695</v>
      </c>
      <c r="J605" s="47">
        <v>1695</v>
      </c>
      <c r="K605" s="47">
        <v>1695</v>
      </c>
      <c r="L605" s="47">
        <v>1695</v>
      </c>
      <c r="M605" s="47">
        <v>1695</v>
      </c>
      <c r="N605" s="47">
        <v>1695</v>
      </c>
      <c r="O605" s="55">
        <v>1695</v>
      </c>
      <c r="P605" s="26">
        <f>SUM(D605:O605)</f>
        <v>20483.32</v>
      </c>
    </row>
    <row r="606" spans="3:16" ht="13.5" customHeight="1">
      <c r="C606" s="4" t="str">
        <f>C600</f>
        <v>Treasury Fee</v>
      </c>
      <c r="D606" s="47">
        <v>250</v>
      </c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55"/>
      <c r="P606" s="26">
        <f>SUM(D606:O606)</f>
        <v>250</v>
      </c>
    </row>
    <row r="607" spans="3:16" ht="13.5" customHeight="1" thickBot="1">
      <c r="C607" s="4" t="str">
        <f>C601</f>
        <v>Intercept</v>
      </c>
      <c r="D607" s="47">
        <f>35833.33+73057.29</f>
        <v>108890.62</v>
      </c>
      <c r="E607" s="47">
        <f>35833.33+73057.29</f>
        <v>108890.62</v>
      </c>
      <c r="F607" s="47">
        <f>35833.33+73057.29</f>
        <v>108890.62</v>
      </c>
      <c r="G607" s="47">
        <f>35833.33+73057.3</f>
        <v>108890.63</v>
      </c>
      <c r="H607" s="47">
        <f>36666.67+71982.29</f>
        <v>108648.95999999999</v>
      </c>
      <c r="I607" s="47">
        <f aca="true" t="shared" si="60" ref="I607:P607">36666.67+71982.29</f>
        <v>108648.95999999999</v>
      </c>
      <c r="J607" s="47">
        <f t="shared" si="60"/>
        <v>108648.95999999999</v>
      </c>
      <c r="K607" s="47">
        <f t="shared" si="60"/>
        <v>108648.95999999999</v>
      </c>
      <c r="L607" s="47">
        <f t="shared" si="60"/>
        <v>108648.95999999999</v>
      </c>
      <c r="M607" s="47">
        <f>36666.67+71982.3</f>
        <v>108648.97</v>
      </c>
      <c r="N607" s="47">
        <f t="shared" si="60"/>
        <v>108648.95999999999</v>
      </c>
      <c r="O607" s="55">
        <f t="shared" si="60"/>
        <v>108648.95999999999</v>
      </c>
      <c r="P607" s="26">
        <f>SUM(D607:O607)</f>
        <v>1304754.1799999997</v>
      </c>
    </row>
    <row r="608" spans="3:16" ht="13.5" customHeight="1" thickBot="1">
      <c r="C608" s="6" t="s">
        <v>120</v>
      </c>
      <c r="D608" s="27">
        <f aca="true" t="shared" si="61" ref="D608:P608">SUM(D605:D607)</f>
        <v>110871.45</v>
      </c>
      <c r="E608" s="27">
        <f t="shared" si="61"/>
        <v>110621.45</v>
      </c>
      <c r="F608" s="27">
        <f t="shared" si="61"/>
        <v>110621.45</v>
      </c>
      <c r="G608" s="27">
        <f t="shared" si="61"/>
        <v>110621.46</v>
      </c>
      <c r="H608" s="27">
        <f t="shared" si="61"/>
        <v>110343.95999999999</v>
      </c>
      <c r="I608" s="27">
        <f t="shared" si="61"/>
        <v>110343.95999999999</v>
      </c>
      <c r="J608" s="27">
        <f t="shared" si="61"/>
        <v>110343.95999999999</v>
      </c>
      <c r="K608" s="27">
        <f t="shared" si="61"/>
        <v>110343.95999999999</v>
      </c>
      <c r="L608" s="27">
        <f t="shared" si="61"/>
        <v>110343.95999999999</v>
      </c>
      <c r="M608" s="27">
        <f t="shared" si="61"/>
        <v>110343.97</v>
      </c>
      <c r="N608" s="27">
        <f t="shared" si="61"/>
        <v>110343.95999999999</v>
      </c>
      <c r="O608" s="40">
        <f t="shared" si="61"/>
        <v>110343.95999999999</v>
      </c>
      <c r="P608" s="27">
        <f t="shared" si="61"/>
        <v>1325487.4999999998</v>
      </c>
    </row>
    <row r="609" ht="13.5" customHeight="1">
      <c r="C609" s="12"/>
    </row>
    <row r="610" spans="1:3" ht="13.5" customHeight="1">
      <c r="A610" s="16">
        <f>+A604+1</f>
        <v>32</v>
      </c>
      <c r="C610" s="5" t="s">
        <v>207</v>
      </c>
    </row>
    <row r="611" spans="3:16" ht="13.5" customHeight="1">
      <c r="C611" s="4" t="s">
        <v>3</v>
      </c>
      <c r="D611" s="26">
        <v>2815.83</v>
      </c>
      <c r="E611" s="26">
        <v>2815.83</v>
      </c>
      <c r="F611" s="26">
        <v>2815.83</v>
      </c>
      <c r="G611" s="26">
        <v>2815.83</v>
      </c>
      <c r="H611" s="26">
        <v>2815.83</v>
      </c>
      <c r="I611" s="26">
        <v>2815.83</v>
      </c>
      <c r="J611" s="47">
        <v>2736.25</v>
      </c>
      <c r="K611" s="47">
        <v>2736.25</v>
      </c>
      <c r="L611" s="47">
        <v>2736.25</v>
      </c>
      <c r="M611" s="47">
        <v>2736.25</v>
      </c>
      <c r="N611" s="47">
        <v>2736.25</v>
      </c>
      <c r="O611" s="55">
        <v>2736.25</v>
      </c>
      <c r="P611" s="26">
        <f>SUM(D611:O611)</f>
        <v>33312.479999999996</v>
      </c>
    </row>
    <row r="612" spans="3:16" ht="13.5" customHeight="1">
      <c r="C612" s="4" t="s">
        <v>4</v>
      </c>
      <c r="D612" s="47">
        <v>250</v>
      </c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55"/>
      <c r="P612" s="26">
        <f>SUM(D612:O612)</f>
        <v>250</v>
      </c>
    </row>
    <row r="613" spans="3:16" ht="13.5" customHeight="1" thickBot="1">
      <c r="C613" s="4" t="s">
        <v>5</v>
      </c>
      <c r="D613" s="47">
        <f>79583.33+120518.75</f>
        <v>200102.08000000002</v>
      </c>
      <c r="E613" s="47">
        <f>79583.33+120518.75</f>
        <v>200102.08000000002</v>
      </c>
      <c r="F613" s="47">
        <f>79583.33+120518.75</f>
        <v>200102.08000000002</v>
      </c>
      <c r="G613" s="47">
        <f>79583.33+120518.75</f>
        <v>200102.08000000002</v>
      </c>
      <c r="H613" s="47">
        <f>79583.33+120518.75</f>
        <v>200102.08000000002</v>
      </c>
      <c r="I613" s="47">
        <f>81666.67+118131.25</f>
        <v>199797.91999999998</v>
      </c>
      <c r="J613" s="47">
        <f aca="true" t="shared" si="62" ref="J613:P613">81666.67+118131.25</f>
        <v>199797.91999999998</v>
      </c>
      <c r="K613" s="47">
        <f t="shared" si="62"/>
        <v>199797.91999999998</v>
      </c>
      <c r="L613" s="47">
        <f t="shared" si="62"/>
        <v>199797.91999999998</v>
      </c>
      <c r="M613" s="47">
        <f t="shared" si="62"/>
        <v>199797.91999999998</v>
      </c>
      <c r="N613" s="47">
        <f t="shared" si="62"/>
        <v>199797.91999999998</v>
      </c>
      <c r="O613" s="55">
        <f t="shared" si="62"/>
        <v>199797.91999999998</v>
      </c>
      <c r="P613" s="26">
        <f>SUM(D613:O613)</f>
        <v>2399095.84</v>
      </c>
    </row>
    <row r="614" spans="3:16" ht="13.5" customHeight="1" thickBot="1">
      <c r="C614" s="6" t="s">
        <v>208</v>
      </c>
      <c r="D614" s="27">
        <f aca="true" t="shared" si="63" ref="D614:P614">SUM(D611:D613)</f>
        <v>203167.91</v>
      </c>
      <c r="E614" s="27">
        <f t="shared" si="63"/>
        <v>202917.91</v>
      </c>
      <c r="F614" s="27">
        <f t="shared" si="63"/>
        <v>202917.91</v>
      </c>
      <c r="G614" s="27">
        <f t="shared" si="63"/>
        <v>202917.91</v>
      </c>
      <c r="H614" s="27">
        <f t="shared" si="63"/>
        <v>202917.91</v>
      </c>
      <c r="I614" s="27">
        <f t="shared" si="63"/>
        <v>202613.74999999997</v>
      </c>
      <c r="J614" s="27">
        <f t="shared" si="63"/>
        <v>202534.16999999998</v>
      </c>
      <c r="K614" s="27">
        <f t="shared" si="63"/>
        <v>202534.16999999998</v>
      </c>
      <c r="L614" s="27">
        <f t="shared" si="63"/>
        <v>202534.16999999998</v>
      </c>
      <c r="M614" s="27">
        <f t="shared" si="63"/>
        <v>202534.16999999998</v>
      </c>
      <c r="N614" s="27">
        <f t="shared" si="63"/>
        <v>202534.16999999998</v>
      </c>
      <c r="O614" s="40">
        <f t="shared" si="63"/>
        <v>202534.16999999998</v>
      </c>
      <c r="P614" s="27">
        <f t="shared" si="63"/>
        <v>2432658.32</v>
      </c>
    </row>
    <row r="615" ht="13.5" customHeight="1">
      <c r="C615" s="12"/>
    </row>
    <row r="616" spans="1:3" ht="13.5" customHeight="1">
      <c r="A616" s="16">
        <f>+A610+1</f>
        <v>33</v>
      </c>
      <c r="C616" s="5" t="s">
        <v>201</v>
      </c>
    </row>
    <row r="617" spans="3:16" ht="13.5" customHeight="1">
      <c r="C617" s="4" t="s">
        <v>3</v>
      </c>
      <c r="D617" s="26">
        <v>459.58</v>
      </c>
      <c r="E617" s="26">
        <v>459.58</v>
      </c>
      <c r="F617" s="26">
        <v>459.58</v>
      </c>
      <c r="G617" s="26">
        <v>459.58</v>
      </c>
      <c r="H617" s="47">
        <v>449.58</v>
      </c>
      <c r="I617" s="47">
        <v>449.58</v>
      </c>
      <c r="J617" s="47">
        <v>449.58</v>
      </c>
      <c r="K617" s="47">
        <v>449.58</v>
      </c>
      <c r="L617" s="47">
        <v>449.58</v>
      </c>
      <c r="M617" s="47">
        <v>449.58</v>
      </c>
      <c r="N617" s="47">
        <v>449.58</v>
      </c>
      <c r="O617" s="55">
        <v>449.58</v>
      </c>
      <c r="P617" s="26">
        <f>SUM(D617:O617)</f>
        <v>5434.96</v>
      </c>
    </row>
    <row r="618" spans="3:16" ht="13.5" customHeight="1">
      <c r="C618" s="4" t="s">
        <v>4</v>
      </c>
      <c r="D618" s="47">
        <v>250</v>
      </c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55"/>
      <c r="P618" s="26">
        <f>SUM(D618:O618)</f>
        <v>250</v>
      </c>
    </row>
    <row r="619" spans="3:16" ht="13.5" customHeight="1" thickBot="1">
      <c r="C619" s="4" t="s">
        <v>5</v>
      </c>
      <c r="D619" s="47">
        <f>10000+18627.08</f>
        <v>28627.08</v>
      </c>
      <c r="E619" s="47">
        <f>10000+18327.08</f>
        <v>28327.08</v>
      </c>
      <c r="F619" s="47">
        <f aca="true" t="shared" si="64" ref="F619:P619">10000+18327.08</f>
        <v>28327.08</v>
      </c>
      <c r="G619" s="47">
        <f t="shared" si="64"/>
        <v>28327.08</v>
      </c>
      <c r="H619" s="47">
        <f t="shared" si="64"/>
        <v>28327.08</v>
      </c>
      <c r="I619" s="47">
        <f t="shared" si="64"/>
        <v>28327.08</v>
      </c>
      <c r="J619" s="47">
        <f t="shared" si="64"/>
        <v>28327.08</v>
      </c>
      <c r="K619" s="47">
        <f t="shared" si="64"/>
        <v>28327.08</v>
      </c>
      <c r="L619" s="47">
        <f t="shared" si="64"/>
        <v>28327.08</v>
      </c>
      <c r="M619" s="47">
        <f t="shared" si="64"/>
        <v>28327.08</v>
      </c>
      <c r="N619" s="47">
        <f t="shared" si="64"/>
        <v>28327.08</v>
      </c>
      <c r="O619" s="55">
        <f t="shared" si="64"/>
        <v>28327.08</v>
      </c>
      <c r="P619" s="26">
        <f>SUM(D619:O619)</f>
        <v>340224.96000000014</v>
      </c>
    </row>
    <row r="620" spans="3:16" ht="13.5" customHeight="1" thickBot="1">
      <c r="C620" s="6" t="s">
        <v>202</v>
      </c>
      <c r="D620" s="27">
        <f aca="true" t="shared" si="65" ref="D620:P620">SUM(D617:D619)</f>
        <v>29336.660000000003</v>
      </c>
      <c r="E620" s="27">
        <f t="shared" si="65"/>
        <v>28786.660000000003</v>
      </c>
      <c r="F620" s="27">
        <f t="shared" si="65"/>
        <v>28786.660000000003</v>
      </c>
      <c r="G620" s="27">
        <f t="shared" si="65"/>
        <v>28786.660000000003</v>
      </c>
      <c r="H620" s="27">
        <f t="shared" si="65"/>
        <v>28776.660000000003</v>
      </c>
      <c r="I620" s="27">
        <f t="shared" si="65"/>
        <v>28776.660000000003</v>
      </c>
      <c r="J620" s="27">
        <f t="shared" si="65"/>
        <v>28776.660000000003</v>
      </c>
      <c r="K620" s="27">
        <f t="shared" si="65"/>
        <v>28776.660000000003</v>
      </c>
      <c r="L620" s="27">
        <f t="shared" si="65"/>
        <v>28776.660000000003</v>
      </c>
      <c r="M620" s="27">
        <f t="shared" si="65"/>
        <v>28776.660000000003</v>
      </c>
      <c r="N620" s="27">
        <f t="shared" si="65"/>
        <v>28776.660000000003</v>
      </c>
      <c r="O620" s="40">
        <f t="shared" si="65"/>
        <v>28776.660000000003</v>
      </c>
      <c r="P620" s="27">
        <f t="shared" si="65"/>
        <v>345909.92000000016</v>
      </c>
    </row>
    <row r="621" ht="13.5" customHeight="1">
      <c r="C621" s="12"/>
    </row>
    <row r="622" spans="1:3" ht="13.5" customHeight="1">
      <c r="A622" s="16">
        <f>+A616+1</f>
        <v>34</v>
      </c>
      <c r="C622" s="5" t="s">
        <v>203</v>
      </c>
    </row>
    <row r="623" spans="3:16" ht="13.5" customHeight="1">
      <c r="C623" s="4" t="s">
        <v>3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39">
        <v>0</v>
      </c>
      <c r="P623" s="26">
        <f>SUM(D623:O623)</f>
        <v>0</v>
      </c>
    </row>
    <row r="624" spans="3:16" ht="13.5" customHeight="1">
      <c r="C624" s="4" t="s">
        <v>4</v>
      </c>
      <c r="D624" s="47">
        <v>250</v>
      </c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55"/>
      <c r="P624" s="26">
        <f>SUM(D624:O624)</f>
        <v>250</v>
      </c>
    </row>
    <row r="625" spans="3:16" ht="13.5" customHeight="1" thickBot="1">
      <c r="C625" s="4" t="s">
        <v>5</v>
      </c>
      <c r="D625" s="47">
        <f>39166.67+60093.35</f>
        <v>99260.01999999999</v>
      </c>
      <c r="E625" s="47">
        <f>39166.67+60093.35</f>
        <v>99260.01999999999</v>
      </c>
      <c r="F625" s="47">
        <f>39166.67+60093.35</f>
        <v>99260.01999999999</v>
      </c>
      <c r="G625" s="47">
        <f>39166.67+60093.35</f>
        <v>99260.01999999999</v>
      </c>
      <c r="H625" s="47">
        <f>40833.33+58624.99</f>
        <v>99458.32</v>
      </c>
      <c r="I625" s="47">
        <f aca="true" t="shared" si="66" ref="I625:P625">40833.33+58624.99</f>
        <v>99458.32</v>
      </c>
      <c r="J625" s="47">
        <f t="shared" si="66"/>
        <v>99458.32</v>
      </c>
      <c r="K625" s="47">
        <f t="shared" si="66"/>
        <v>99458.32</v>
      </c>
      <c r="L625" s="47">
        <f t="shared" si="66"/>
        <v>99458.32</v>
      </c>
      <c r="M625" s="47">
        <f>40833.33+58624.98</f>
        <v>99458.31</v>
      </c>
      <c r="N625" s="47">
        <f t="shared" si="66"/>
        <v>99458.32</v>
      </c>
      <c r="O625" s="55">
        <f t="shared" si="66"/>
        <v>99458.32</v>
      </c>
      <c r="P625" s="26">
        <f>SUM(D625:O625)</f>
        <v>1192706.6300000004</v>
      </c>
    </row>
    <row r="626" spans="3:16" ht="13.5" customHeight="1" thickBot="1">
      <c r="C626" s="6" t="s">
        <v>156</v>
      </c>
      <c r="D626" s="27">
        <f aca="true" t="shared" si="67" ref="D626:P626">SUM(D623:D625)</f>
        <v>99510.01999999999</v>
      </c>
      <c r="E626" s="27">
        <f t="shared" si="67"/>
        <v>99260.01999999999</v>
      </c>
      <c r="F626" s="27">
        <f t="shared" si="67"/>
        <v>99260.01999999999</v>
      </c>
      <c r="G626" s="27">
        <f t="shared" si="67"/>
        <v>99260.01999999999</v>
      </c>
      <c r="H626" s="27">
        <f t="shared" si="67"/>
        <v>99458.32</v>
      </c>
      <c r="I626" s="27">
        <f t="shared" si="67"/>
        <v>99458.32</v>
      </c>
      <c r="J626" s="27">
        <f t="shared" si="67"/>
        <v>99458.32</v>
      </c>
      <c r="K626" s="27">
        <f t="shared" si="67"/>
        <v>99458.32</v>
      </c>
      <c r="L626" s="27">
        <f t="shared" si="67"/>
        <v>99458.32</v>
      </c>
      <c r="M626" s="27">
        <f t="shared" si="67"/>
        <v>99458.31</v>
      </c>
      <c r="N626" s="27">
        <f t="shared" si="67"/>
        <v>99458.32</v>
      </c>
      <c r="O626" s="40">
        <f t="shared" si="67"/>
        <v>99458.32</v>
      </c>
      <c r="P626" s="27">
        <f>SUM(P623:P625)</f>
        <v>1192956.6300000004</v>
      </c>
    </row>
    <row r="627" ht="13.5" customHeight="1">
      <c r="C627" s="12"/>
    </row>
    <row r="628" spans="1:3" ht="13.5" customHeight="1">
      <c r="A628" s="16">
        <f>+A622+1</f>
        <v>35</v>
      </c>
      <c r="C628" s="5" t="s">
        <v>204</v>
      </c>
    </row>
    <row r="629" spans="3:16" ht="13.5" customHeight="1">
      <c r="C629" s="4" t="s">
        <v>3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39">
        <v>0</v>
      </c>
      <c r="P629" s="26">
        <f>SUM(D629:O629)</f>
        <v>0</v>
      </c>
    </row>
    <row r="630" spans="3:16" ht="13.5" customHeight="1">
      <c r="C630" s="4" t="s">
        <v>4</v>
      </c>
      <c r="D630" s="47">
        <v>250</v>
      </c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55"/>
      <c r="P630" s="26">
        <f>SUM(D630:O630)</f>
        <v>250</v>
      </c>
    </row>
    <row r="631" spans="3:16" ht="13.5" customHeight="1" thickBot="1">
      <c r="C631" s="4" t="s">
        <v>5</v>
      </c>
      <c r="D631" s="47">
        <f>17083.33+56851.56</f>
        <v>73934.89</v>
      </c>
      <c r="E631" s="47">
        <f>17083.33+56851.56</f>
        <v>73934.89</v>
      </c>
      <c r="F631" s="47">
        <f>17083.33+56851.56</f>
        <v>73934.89</v>
      </c>
      <c r="G631" s="47">
        <f>17083.33+56851.56</f>
        <v>73934.89</v>
      </c>
      <c r="H631" s="47">
        <f>17916.67+56168.23</f>
        <v>74084.9</v>
      </c>
      <c r="I631" s="47">
        <f aca="true" t="shared" si="68" ref="I631:P631">17916.67+56168.23</f>
        <v>74084.9</v>
      </c>
      <c r="J631" s="47">
        <f t="shared" si="68"/>
        <v>74084.9</v>
      </c>
      <c r="K631" s="47">
        <f t="shared" si="68"/>
        <v>74084.9</v>
      </c>
      <c r="L631" s="47">
        <f t="shared" si="68"/>
        <v>74084.9</v>
      </c>
      <c r="M631" s="47">
        <f t="shared" si="68"/>
        <v>74084.9</v>
      </c>
      <c r="N631" s="47">
        <f t="shared" si="68"/>
        <v>74084.9</v>
      </c>
      <c r="O631" s="55">
        <f t="shared" si="68"/>
        <v>74084.9</v>
      </c>
      <c r="P631" s="26">
        <f>SUM(D631:O631)</f>
        <v>888418.7600000001</v>
      </c>
    </row>
    <row r="632" spans="3:16" ht="13.5" customHeight="1" thickBot="1">
      <c r="C632" s="6" t="s">
        <v>159</v>
      </c>
      <c r="D632" s="27">
        <f aca="true" t="shared" si="69" ref="D632:P632">SUM(D629:D631)</f>
        <v>74184.89</v>
      </c>
      <c r="E632" s="27">
        <f t="shared" si="69"/>
        <v>73934.89</v>
      </c>
      <c r="F632" s="27">
        <f t="shared" si="69"/>
        <v>73934.89</v>
      </c>
      <c r="G632" s="27">
        <f t="shared" si="69"/>
        <v>73934.89</v>
      </c>
      <c r="H632" s="27">
        <f t="shared" si="69"/>
        <v>74084.9</v>
      </c>
      <c r="I632" s="27">
        <f t="shared" si="69"/>
        <v>74084.9</v>
      </c>
      <c r="J632" s="27">
        <f t="shared" si="69"/>
        <v>74084.9</v>
      </c>
      <c r="K632" s="27">
        <f t="shared" si="69"/>
        <v>74084.9</v>
      </c>
      <c r="L632" s="27">
        <f t="shared" si="69"/>
        <v>74084.9</v>
      </c>
      <c r="M632" s="27">
        <f t="shared" si="69"/>
        <v>74084.9</v>
      </c>
      <c r="N632" s="27">
        <f t="shared" si="69"/>
        <v>74084.9</v>
      </c>
      <c r="O632" s="40">
        <f t="shared" si="69"/>
        <v>74084.9</v>
      </c>
      <c r="P632" s="27">
        <f t="shared" si="69"/>
        <v>888668.7600000001</v>
      </c>
    </row>
    <row r="633" ht="13.5" customHeight="1">
      <c r="C633" s="12"/>
    </row>
    <row r="634" spans="1:3" ht="13.5" customHeight="1">
      <c r="A634" s="16">
        <f>+A628+1</f>
        <v>36</v>
      </c>
      <c r="C634" s="5" t="s">
        <v>205</v>
      </c>
    </row>
    <row r="635" spans="3:16" ht="13.5" customHeight="1">
      <c r="C635" s="4" t="s">
        <v>3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39">
        <v>0</v>
      </c>
      <c r="P635" s="26">
        <f>SUM(D635:O635)</f>
        <v>0</v>
      </c>
    </row>
    <row r="636" spans="3:16" ht="13.5" customHeight="1">
      <c r="C636" s="4" t="s">
        <v>4</v>
      </c>
      <c r="D636" s="47">
        <v>250</v>
      </c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55"/>
      <c r="P636" s="26">
        <f>SUM(D636:O636)</f>
        <v>250</v>
      </c>
    </row>
    <row r="637" spans="3:16" ht="13.5" customHeight="1" thickBot="1">
      <c r="C637" s="4" t="s">
        <v>5</v>
      </c>
      <c r="D637" s="26">
        <f>8750+34837.42</f>
        <v>43587.42</v>
      </c>
      <c r="E637" s="26">
        <f>8750+34837.42</f>
        <v>43587.42</v>
      </c>
      <c r="F637" s="26">
        <f>8750+34837.42</f>
        <v>43587.42</v>
      </c>
      <c r="G637" s="26">
        <f>8750+34837.42</f>
        <v>43587.42</v>
      </c>
      <c r="H637" s="26">
        <f>8750+34837.4</f>
        <v>43587.4</v>
      </c>
      <c r="I637" s="47">
        <f>9166.67+34358.79</f>
        <v>43525.46</v>
      </c>
      <c r="J637" s="47">
        <f aca="true" t="shared" si="70" ref="J637:P637">9166.67+34358.79</f>
        <v>43525.46</v>
      </c>
      <c r="K637" s="47">
        <f t="shared" si="70"/>
        <v>43525.46</v>
      </c>
      <c r="L637" s="47">
        <f t="shared" si="70"/>
        <v>43525.46</v>
      </c>
      <c r="M637" s="47">
        <f t="shared" si="70"/>
        <v>43525.46</v>
      </c>
      <c r="N637" s="47">
        <f>9166.67+34358.8</f>
        <v>43525.47</v>
      </c>
      <c r="O637" s="55">
        <f t="shared" si="70"/>
        <v>43525.46</v>
      </c>
      <c r="P637" s="26">
        <f>SUM(D637:O637)</f>
        <v>522615.3100000001</v>
      </c>
    </row>
    <row r="638" spans="3:16" ht="13.5" customHeight="1" thickBot="1">
      <c r="C638" s="6" t="s">
        <v>147</v>
      </c>
      <c r="D638" s="27">
        <f aca="true" t="shared" si="71" ref="D638:P638">SUM(D635:D637)</f>
        <v>43837.42</v>
      </c>
      <c r="E638" s="27">
        <f t="shared" si="71"/>
        <v>43587.42</v>
      </c>
      <c r="F638" s="27">
        <f t="shared" si="71"/>
        <v>43587.42</v>
      </c>
      <c r="G638" s="27">
        <f t="shared" si="71"/>
        <v>43587.42</v>
      </c>
      <c r="H638" s="27">
        <f t="shared" si="71"/>
        <v>43587.4</v>
      </c>
      <c r="I638" s="27">
        <f t="shared" si="71"/>
        <v>43525.46</v>
      </c>
      <c r="J638" s="27">
        <f t="shared" si="71"/>
        <v>43525.46</v>
      </c>
      <c r="K638" s="27">
        <f t="shared" si="71"/>
        <v>43525.46</v>
      </c>
      <c r="L638" s="27">
        <f t="shared" si="71"/>
        <v>43525.46</v>
      </c>
      <c r="M638" s="27">
        <f t="shared" si="71"/>
        <v>43525.46</v>
      </c>
      <c r="N638" s="27">
        <f t="shared" si="71"/>
        <v>43525.47</v>
      </c>
      <c r="O638" s="40">
        <f t="shared" si="71"/>
        <v>43525.46</v>
      </c>
      <c r="P638" s="27">
        <f t="shared" si="71"/>
        <v>522865.3100000001</v>
      </c>
    </row>
    <row r="639" ht="13.5" customHeight="1">
      <c r="C639" s="12"/>
    </row>
    <row r="640" spans="1:3" ht="13.5" customHeight="1">
      <c r="A640" s="16">
        <f>+A634+1</f>
        <v>37</v>
      </c>
      <c r="C640" s="5" t="s">
        <v>206</v>
      </c>
    </row>
    <row r="641" spans="3:16" ht="13.5" customHeight="1">
      <c r="C641" s="4" t="s">
        <v>3</v>
      </c>
      <c r="D641" s="26">
        <v>1108.33</v>
      </c>
      <c r="E641" s="26">
        <v>1108.33</v>
      </c>
      <c r="F641" s="26">
        <v>1108.33</v>
      </c>
      <c r="G641" s="26">
        <v>1108.33</v>
      </c>
      <c r="H641" s="26">
        <v>1108.33</v>
      </c>
      <c r="I641" s="26">
        <v>1108.33</v>
      </c>
      <c r="J641" s="47">
        <v>1075.83</v>
      </c>
      <c r="K641" s="47">
        <v>1075.83</v>
      </c>
      <c r="L641" s="47">
        <v>1075.83</v>
      </c>
      <c r="M641" s="47">
        <v>1075.83</v>
      </c>
      <c r="N641" s="47">
        <v>1075.83</v>
      </c>
      <c r="O641" s="55">
        <v>1075.83</v>
      </c>
      <c r="P641" s="26">
        <f>SUM(D641:O641)</f>
        <v>13104.96</v>
      </c>
    </row>
    <row r="642" spans="3:16" ht="13.5" customHeight="1">
      <c r="C642" s="4" t="s">
        <v>4</v>
      </c>
      <c r="D642" s="47">
        <v>250</v>
      </c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55"/>
      <c r="P642" s="26">
        <f>SUM(D642:O642)</f>
        <v>250</v>
      </c>
    </row>
    <row r="643" spans="3:16" ht="13.5" customHeight="1" thickBot="1">
      <c r="C643" s="4" t="s">
        <v>5</v>
      </c>
      <c r="D643" s="47">
        <f>32500+45053.13</f>
        <v>77553.13</v>
      </c>
      <c r="E643" s="47">
        <f>32500+45053.13</f>
        <v>77553.13</v>
      </c>
      <c r="F643" s="47">
        <f>32500+45053.1</f>
        <v>77553.1</v>
      </c>
      <c r="G643" s="47">
        <f>33333.33+44078.13</f>
        <v>77411.45999999999</v>
      </c>
      <c r="H643" s="47">
        <f aca="true" t="shared" si="72" ref="H643:P643">33333.33+44078.13</f>
        <v>77411.45999999999</v>
      </c>
      <c r="I643" s="47">
        <f t="shared" si="72"/>
        <v>77411.45999999999</v>
      </c>
      <c r="J643" s="47">
        <f t="shared" si="72"/>
        <v>77411.45999999999</v>
      </c>
      <c r="K643" s="47">
        <f t="shared" si="72"/>
        <v>77411.45999999999</v>
      </c>
      <c r="L643" s="47">
        <f>33333.33+44078.1</f>
        <v>77411.43</v>
      </c>
      <c r="M643" s="47">
        <f t="shared" si="72"/>
        <v>77411.45999999999</v>
      </c>
      <c r="N643" s="47">
        <f t="shared" si="72"/>
        <v>77411.45999999999</v>
      </c>
      <c r="O643" s="55">
        <f t="shared" si="72"/>
        <v>77411.45999999999</v>
      </c>
      <c r="P643" s="26">
        <f>SUM(D643:O643)</f>
        <v>929362.4699999997</v>
      </c>
    </row>
    <row r="644" spans="3:16" ht="13.5" customHeight="1" thickBot="1">
      <c r="C644" s="6" t="s">
        <v>96</v>
      </c>
      <c r="D644" s="27">
        <f aca="true" t="shared" si="73" ref="D644:P644">SUM(D641:D643)</f>
        <v>78911.46</v>
      </c>
      <c r="E644" s="27">
        <f t="shared" si="73"/>
        <v>78661.46</v>
      </c>
      <c r="F644" s="27">
        <f t="shared" si="73"/>
        <v>78661.43000000001</v>
      </c>
      <c r="G644" s="27">
        <f t="shared" si="73"/>
        <v>78519.79</v>
      </c>
      <c r="H644" s="27">
        <f t="shared" si="73"/>
        <v>78519.79</v>
      </c>
      <c r="I644" s="27">
        <f t="shared" si="73"/>
        <v>78519.79</v>
      </c>
      <c r="J644" s="27">
        <f t="shared" si="73"/>
        <v>78487.29</v>
      </c>
      <c r="K644" s="27">
        <f t="shared" si="73"/>
        <v>78487.29</v>
      </c>
      <c r="L644" s="27">
        <f t="shared" si="73"/>
        <v>78487.26</v>
      </c>
      <c r="M644" s="27">
        <f t="shared" si="73"/>
        <v>78487.29</v>
      </c>
      <c r="N644" s="27">
        <f t="shared" si="73"/>
        <v>78487.29</v>
      </c>
      <c r="O644" s="40">
        <f t="shared" si="73"/>
        <v>78487.29</v>
      </c>
      <c r="P644" s="27">
        <f t="shared" si="73"/>
        <v>942717.4299999997</v>
      </c>
    </row>
    <row r="645" ht="13.5" customHeight="1">
      <c r="C645" s="12"/>
    </row>
    <row r="646" spans="1:3" ht="13.5" customHeight="1">
      <c r="A646" s="16">
        <f>+A640+1</f>
        <v>38</v>
      </c>
      <c r="C646" s="5" t="s">
        <v>209</v>
      </c>
    </row>
    <row r="647" spans="3:16" ht="13.5" customHeight="1">
      <c r="C647" s="4" t="s">
        <v>3</v>
      </c>
      <c r="D647" s="26">
        <v>1049.58</v>
      </c>
      <c r="E647" s="26">
        <v>1049.58</v>
      </c>
      <c r="F647" s="26">
        <v>1049.58</v>
      </c>
      <c r="G647" s="26">
        <v>1049.58</v>
      </c>
      <c r="H647" s="26">
        <v>1049.58</v>
      </c>
      <c r="I647" s="26">
        <v>1049.58</v>
      </c>
      <c r="J647" s="26">
        <v>1049.58</v>
      </c>
      <c r="K647" s="47">
        <v>1017.92</v>
      </c>
      <c r="L647" s="47">
        <v>1017.92</v>
      </c>
      <c r="M647" s="47">
        <v>1017.92</v>
      </c>
      <c r="N647" s="47">
        <v>1017.92</v>
      </c>
      <c r="O647" s="55">
        <v>1017.92</v>
      </c>
      <c r="P647" s="26">
        <f>SUM(D647:O647)</f>
        <v>12436.66</v>
      </c>
    </row>
    <row r="648" spans="3:16" ht="13.5" customHeight="1">
      <c r="C648" s="4" t="s">
        <v>4</v>
      </c>
      <c r="D648" s="47">
        <v>250</v>
      </c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55"/>
      <c r="P648" s="26">
        <f>SUM(D648:O648)</f>
        <v>250</v>
      </c>
    </row>
    <row r="649" spans="3:16" ht="13.5" customHeight="1" thickBot="1">
      <c r="C649" s="4" t="s">
        <v>5</v>
      </c>
      <c r="D649" s="47">
        <f>35416.67+53687.5</f>
        <v>89104.17</v>
      </c>
      <c r="E649" s="47">
        <f>35416.67+53687.5</f>
        <v>89104.17</v>
      </c>
      <c r="F649" s="47">
        <f>35416.67+53687.5</f>
        <v>89104.17</v>
      </c>
      <c r="G649" s="47">
        <f>35416.67+53687.5</f>
        <v>89104.17</v>
      </c>
      <c r="H649" s="47">
        <f>35416.63+53687.5</f>
        <v>89104.13</v>
      </c>
      <c r="I649" s="47">
        <f>36666.67+52298.96</f>
        <v>88965.63</v>
      </c>
      <c r="J649" s="47">
        <f aca="true" t="shared" si="74" ref="J649:P649">36666.67+52298.96</f>
        <v>88965.63</v>
      </c>
      <c r="K649" s="47">
        <f t="shared" si="74"/>
        <v>88965.63</v>
      </c>
      <c r="L649" s="47">
        <f t="shared" si="74"/>
        <v>88965.63</v>
      </c>
      <c r="M649" s="47">
        <f t="shared" si="74"/>
        <v>88965.63</v>
      </c>
      <c r="N649" s="47">
        <f>36666.67+52298.95</f>
        <v>88965.62</v>
      </c>
      <c r="O649" s="55">
        <f t="shared" si="74"/>
        <v>88965.63</v>
      </c>
      <c r="P649" s="26">
        <f>SUM(D649:O649)</f>
        <v>1068280.21</v>
      </c>
    </row>
    <row r="650" spans="3:16" ht="13.5" customHeight="1" thickBot="1">
      <c r="C650" s="6" t="s">
        <v>208</v>
      </c>
      <c r="D650" s="27">
        <f aca="true" t="shared" si="75" ref="D650:P650">SUM(D647:D649)</f>
        <v>90403.75</v>
      </c>
      <c r="E650" s="27">
        <f t="shared" si="75"/>
        <v>90153.75</v>
      </c>
      <c r="F650" s="27">
        <f t="shared" si="75"/>
        <v>90153.75</v>
      </c>
      <c r="G650" s="27">
        <f t="shared" si="75"/>
        <v>90153.75</v>
      </c>
      <c r="H650" s="27">
        <f t="shared" si="75"/>
        <v>90153.71</v>
      </c>
      <c r="I650" s="27">
        <f t="shared" si="75"/>
        <v>90015.21</v>
      </c>
      <c r="J650" s="27">
        <f t="shared" si="75"/>
        <v>90015.21</v>
      </c>
      <c r="K650" s="27">
        <f t="shared" si="75"/>
        <v>89983.55</v>
      </c>
      <c r="L650" s="27">
        <f t="shared" si="75"/>
        <v>89983.55</v>
      </c>
      <c r="M650" s="27">
        <f t="shared" si="75"/>
        <v>89983.55</v>
      </c>
      <c r="N650" s="27">
        <f t="shared" si="75"/>
        <v>89983.54</v>
      </c>
      <c r="O650" s="40">
        <f t="shared" si="75"/>
        <v>89983.55</v>
      </c>
      <c r="P650" s="27">
        <f t="shared" si="75"/>
        <v>1080966.8699999999</v>
      </c>
    </row>
    <row r="651" ht="13.5" customHeight="1">
      <c r="C651" s="12"/>
    </row>
    <row r="652" spans="1:3" ht="13.5" customHeight="1">
      <c r="A652" s="16">
        <f>+A646+1</f>
        <v>39</v>
      </c>
      <c r="C652" s="5" t="s">
        <v>210</v>
      </c>
    </row>
    <row r="653" spans="3:16" ht="13.5" customHeight="1">
      <c r="C653" s="4" t="s">
        <v>3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39">
        <v>0</v>
      </c>
      <c r="P653" s="26">
        <f>SUM(D653:O653)</f>
        <v>0</v>
      </c>
    </row>
    <row r="654" spans="3:16" ht="13.5" customHeight="1">
      <c r="C654" s="4" t="s">
        <v>4</v>
      </c>
      <c r="D654" s="47">
        <v>250</v>
      </c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55"/>
      <c r="P654" s="26">
        <f>SUM(D654:O654)</f>
        <v>250</v>
      </c>
    </row>
    <row r="655" spans="3:16" ht="13.5" customHeight="1" thickBot="1">
      <c r="C655" s="4" t="s">
        <v>5</v>
      </c>
      <c r="D655" s="26">
        <f>45000+113454.17</f>
        <v>158454.16999999998</v>
      </c>
      <c r="E655" s="26">
        <f>45000+113454.17</f>
        <v>158454.16999999998</v>
      </c>
      <c r="F655" s="26">
        <f>45000+113454.17</f>
        <v>158454.16999999998</v>
      </c>
      <c r="G655" s="26">
        <f>45000+113454.17</f>
        <v>158454.16999999998</v>
      </c>
      <c r="H655" s="26">
        <f>45000+113454.15</f>
        <v>158454.15</v>
      </c>
      <c r="I655" s="47">
        <f>45833.33+112329.17</f>
        <v>158162.5</v>
      </c>
      <c r="J655" s="47">
        <f aca="true" t="shared" si="76" ref="J655:P655">45833.33+112329.17</f>
        <v>158162.5</v>
      </c>
      <c r="K655" s="47">
        <f t="shared" si="76"/>
        <v>158162.5</v>
      </c>
      <c r="L655" s="47">
        <f t="shared" si="76"/>
        <v>158162.5</v>
      </c>
      <c r="M655" s="47">
        <f t="shared" si="76"/>
        <v>158162.5</v>
      </c>
      <c r="N655" s="47">
        <f>45833.33+112329.15</f>
        <v>158162.47999999998</v>
      </c>
      <c r="O655" s="55">
        <f t="shared" si="76"/>
        <v>158162.5</v>
      </c>
      <c r="P655" s="26">
        <f>SUM(D655:O655)</f>
        <v>1899408.31</v>
      </c>
    </row>
    <row r="656" spans="3:16" ht="13.5" customHeight="1" thickBot="1">
      <c r="C656" s="6" t="s">
        <v>211</v>
      </c>
      <c r="D656" s="27">
        <f aca="true" t="shared" si="77" ref="D656:P656">SUM(D653:D655)</f>
        <v>158704.16999999998</v>
      </c>
      <c r="E656" s="27">
        <f t="shared" si="77"/>
        <v>158454.16999999998</v>
      </c>
      <c r="F656" s="27">
        <f t="shared" si="77"/>
        <v>158454.16999999998</v>
      </c>
      <c r="G656" s="27">
        <f t="shared" si="77"/>
        <v>158454.16999999998</v>
      </c>
      <c r="H656" s="27">
        <f t="shared" si="77"/>
        <v>158454.15</v>
      </c>
      <c r="I656" s="27">
        <f t="shared" si="77"/>
        <v>158162.5</v>
      </c>
      <c r="J656" s="27">
        <f t="shared" si="77"/>
        <v>158162.5</v>
      </c>
      <c r="K656" s="27">
        <f t="shared" si="77"/>
        <v>158162.5</v>
      </c>
      <c r="L656" s="27">
        <f t="shared" si="77"/>
        <v>158162.5</v>
      </c>
      <c r="M656" s="27">
        <f t="shared" si="77"/>
        <v>158162.5</v>
      </c>
      <c r="N656" s="27">
        <f t="shared" si="77"/>
        <v>158162.47999999998</v>
      </c>
      <c r="O656" s="40">
        <f t="shared" si="77"/>
        <v>158162.5</v>
      </c>
      <c r="P656" s="27">
        <f t="shared" si="77"/>
        <v>1899658.31</v>
      </c>
    </row>
    <row r="657" ht="13.5" customHeight="1">
      <c r="C657" s="12"/>
    </row>
    <row r="658" spans="1:3" ht="13.5" customHeight="1">
      <c r="A658" s="16">
        <f>+A652+1</f>
        <v>40</v>
      </c>
      <c r="C658" s="5" t="s">
        <v>212</v>
      </c>
    </row>
    <row r="659" spans="3:16" ht="13.5" customHeight="1">
      <c r="C659" s="4" t="s">
        <v>3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39">
        <v>0</v>
      </c>
      <c r="P659" s="26">
        <f>SUM(D659:O659)</f>
        <v>0</v>
      </c>
    </row>
    <row r="660" spans="3:16" ht="13.5" customHeight="1">
      <c r="C660" s="4" t="s">
        <v>4</v>
      </c>
      <c r="D660" s="47">
        <v>250</v>
      </c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55"/>
      <c r="P660" s="26">
        <f>SUM(D660:O660)</f>
        <v>250</v>
      </c>
    </row>
    <row r="661" spans="3:16" ht="13.5" customHeight="1" thickBot="1">
      <c r="C661" s="4" t="s">
        <v>5</v>
      </c>
      <c r="D661" s="26">
        <f aca="true" t="shared" si="78" ref="D661:L661">17916.67+49263.02</f>
        <v>67179.69</v>
      </c>
      <c r="E661" s="26">
        <f t="shared" si="78"/>
        <v>67179.69</v>
      </c>
      <c r="F661" s="26">
        <f t="shared" si="78"/>
        <v>67179.69</v>
      </c>
      <c r="G661" s="26">
        <f t="shared" si="78"/>
        <v>67179.69</v>
      </c>
      <c r="H661" s="26">
        <f t="shared" si="78"/>
        <v>67179.69</v>
      </c>
      <c r="I661" s="26">
        <f t="shared" si="78"/>
        <v>67179.69</v>
      </c>
      <c r="J661" s="26">
        <f t="shared" si="78"/>
        <v>67179.69</v>
      </c>
      <c r="K661" s="26">
        <f t="shared" si="78"/>
        <v>67179.69</v>
      </c>
      <c r="L661" s="26">
        <f t="shared" si="78"/>
        <v>67179.69</v>
      </c>
      <c r="M661" s="47">
        <f>18750+48456.77</f>
        <v>67206.76999999999</v>
      </c>
      <c r="N661" s="47">
        <f>18750+48456.77</f>
        <v>67206.76999999999</v>
      </c>
      <c r="O661" s="55">
        <f>18750+48456.77</f>
        <v>67206.76999999999</v>
      </c>
      <c r="P661" s="26">
        <f>SUM(D661:O661)</f>
        <v>806237.52</v>
      </c>
    </row>
    <row r="662" spans="3:16" ht="13.5" customHeight="1" thickBot="1">
      <c r="C662" s="6" t="s">
        <v>213</v>
      </c>
      <c r="D662" s="27">
        <f aca="true" t="shared" si="79" ref="D662:P662">SUM(D659:D661)</f>
        <v>67429.69</v>
      </c>
      <c r="E662" s="27">
        <f t="shared" si="79"/>
        <v>67179.69</v>
      </c>
      <c r="F662" s="27">
        <f t="shared" si="79"/>
        <v>67179.69</v>
      </c>
      <c r="G662" s="27">
        <f t="shared" si="79"/>
        <v>67179.69</v>
      </c>
      <c r="H662" s="27">
        <f t="shared" si="79"/>
        <v>67179.69</v>
      </c>
      <c r="I662" s="27">
        <f t="shared" si="79"/>
        <v>67179.69</v>
      </c>
      <c r="J662" s="27">
        <f t="shared" si="79"/>
        <v>67179.69</v>
      </c>
      <c r="K662" s="27">
        <f t="shared" si="79"/>
        <v>67179.69</v>
      </c>
      <c r="L662" s="27">
        <f t="shared" si="79"/>
        <v>67179.69</v>
      </c>
      <c r="M662" s="27">
        <f t="shared" si="79"/>
        <v>67206.76999999999</v>
      </c>
      <c r="N662" s="27">
        <f t="shared" si="79"/>
        <v>67206.76999999999</v>
      </c>
      <c r="O662" s="40">
        <f t="shared" si="79"/>
        <v>67206.76999999999</v>
      </c>
      <c r="P662" s="27">
        <f t="shared" si="79"/>
        <v>806487.52</v>
      </c>
    </row>
    <row r="663" ht="13.5" customHeight="1">
      <c r="C663" s="12"/>
    </row>
    <row r="664" spans="1:3" ht="13.5" customHeight="1">
      <c r="A664" s="16"/>
      <c r="B664" s="42" t="s">
        <v>105</v>
      </c>
      <c r="C664" s="30" t="s">
        <v>214</v>
      </c>
    </row>
    <row r="665" spans="3:16" ht="13.5" customHeight="1">
      <c r="C665" s="4" t="s">
        <v>3</v>
      </c>
      <c r="D665" s="26">
        <v>0</v>
      </c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39"/>
      <c r="P665" s="26">
        <f>SUM(D665:O665)</f>
        <v>0</v>
      </c>
    </row>
    <row r="666" spans="3:16" ht="13.5" customHeight="1">
      <c r="C666" s="4" t="s">
        <v>4</v>
      </c>
      <c r="D666" s="47">
        <v>250</v>
      </c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55"/>
      <c r="P666" s="26">
        <f>SUM(D666:O666)</f>
        <v>250</v>
      </c>
    </row>
    <row r="667" spans="3:16" ht="13.5" customHeight="1" thickBot="1">
      <c r="C667" s="4" t="s">
        <v>5</v>
      </c>
      <c r="D667" s="26">
        <f>55416.67+186210</f>
        <v>241626.66999999998</v>
      </c>
      <c r="E667" s="26"/>
      <c r="F667" s="26"/>
      <c r="G667" s="26"/>
      <c r="H667" s="26"/>
      <c r="I667" s="47"/>
      <c r="J667" s="47"/>
      <c r="K667" s="47"/>
      <c r="L667" s="47"/>
      <c r="M667" s="47"/>
      <c r="N667" s="47"/>
      <c r="O667" s="55"/>
      <c r="P667" s="26">
        <f>SUM(D667:O667)</f>
        <v>241626.66999999998</v>
      </c>
    </row>
    <row r="668" spans="3:16" ht="13.5" customHeight="1" thickBot="1">
      <c r="C668" s="6" t="s">
        <v>52</v>
      </c>
      <c r="D668" s="27">
        <f aca="true" t="shared" si="80" ref="D668:P668">SUM(D665:D667)</f>
        <v>241876.66999999998</v>
      </c>
      <c r="E668" s="27">
        <f t="shared" si="80"/>
        <v>0</v>
      </c>
      <c r="F668" s="27">
        <f t="shared" si="80"/>
        <v>0</v>
      </c>
      <c r="G668" s="27">
        <f t="shared" si="80"/>
        <v>0</v>
      </c>
      <c r="H668" s="27">
        <f t="shared" si="80"/>
        <v>0</v>
      </c>
      <c r="I668" s="27">
        <f t="shared" si="80"/>
        <v>0</v>
      </c>
      <c r="J668" s="27">
        <f t="shared" si="80"/>
        <v>0</v>
      </c>
      <c r="K668" s="27">
        <f t="shared" si="80"/>
        <v>0</v>
      </c>
      <c r="L668" s="27">
        <f t="shared" si="80"/>
        <v>0</v>
      </c>
      <c r="M668" s="27">
        <f t="shared" si="80"/>
        <v>0</v>
      </c>
      <c r="N668" s="27">
        <f t="shared" si="80"/>
        <v>0</v>
      </c>
      <c r="O668" s="40">
        <f t="shared" si="80"/>
        <v>0</v>
      </c>
      <c r="P668" s="27">
        <f t="shared" si="80"/>
        <v>241876.66999999998</v>
      </c>
    </row>
    <row r="669" ht="13.5" customHeight="1">
      <c r="C669" s="12"/>
    </row>
    <row r="670" spans="1:3" ht="13.5" customHeight="1">
      <c r="A670" s="16">
        <f>+A658+1</f>
        <v>41</v>
      </c>
      <c r="C670" s="5" t="s">
        <v>215</v>
      </c>
    </row>
    <row r="671" spans="3:16" ht="13.5" customHeight="1">
      <c r="C671" s="4" t="s">
        <v>3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39">
        <v>0</v>
      </c>
      <c r="P671" s="26">
        <f>SUM(D671:O671)</f>
        <v>0</v>
      </c>
    </row>
    <row r="672" spans="3:16" ht="13.5" customHeight="1">
      <c r="C672" s="4" t="s">
        <v>4</v>
      </c>
      <c r="D672" s="47">
        <v>250</v>
      </c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55"/>
      <c r="P672" s="26">
        <f>SUM(D672:O672)</f>
        <v>250</v>
      </c>
    </row>
    <row r="673" spans="3:16" ht="13.5" customHeight="1" thickBot="1">
      <c r="C673" s="4" t="s">
        <v>5</v>
      </c>
      <c r="D673" s="47">
        <f>16250+45116.67</f>
        <v>61366.67</v>
      </c>
      <c r="E673" s="47">
        <f aca="true" t="shared" si="81" ref="E673:N673">16250+45116.67</f>
        <v>61366.67</v>
      </c>
      <c r="F673" s="47">
        <f t="shared" si="81"/>
        <v>61366.67</v>
      </c>
      <c r="G673" s="47">
        <f t="shared" si="81"/>
        <v>61366.67</v>
      </c>
      <c r="H673" s="47">
        <f t="shared" si="81"/>
        <v>61366.67</v>
      </c>
      <c r="I673" s="47">
        <f t="shared" si="81"/>
        <v>61366.67</v>
      </c>
      <c r="J673" s="47">
        <f t="shared" si="81"/>
        <v>61366.67</v>
      </c>
      <c r="K673" s="47">
        <f t="shared" si="81"/>
        <v>61366.67</v>
      </c>
      <c r="L673" s="47">
        <f t="shared" si="81"/>
        <v>61366.67</v>
      </c>
      <c r="M673" s="47">
        <f t="shared" si="81"/>
        <v>61366.67</v>
      </c>
      <c r="N673" s="47">
        <f t="shared" si="81"/>
        <v>61366.67</v>
      </c>
      <c r="O673" s="55">
        <f>17083.33+44446.36</f>
        <v>61529.69</v>
      </c>
      <c r="P673" s="26">
        <f>SUM(D673:O673)</f>
        <v>736563.06</v>
      </c>
    </row>
    <row r="674" spans="3:16" ht="13.5" customHeight="1" thickBot="1">
      <c r="C674" s="6" t="s">
        <v>216</v>
      </c>
      <c r="D674" s="27">
        <f aca="true" t="shared" si="82" ref="D674:P674">SUM(D671:D673)</f>
        <v>61616.67</v>
      </c>
      <c r="E674" s="27">
        <f t="shared" si="82"/>
        <v>61366.67</v>
      </c>
      <c r="F674" s="27">
        <f t="shared" si="82"/>
        <v>61366.67</v>
      </c>
      <c r="G674" s="27">
        <f t="shared" si="82"/>
        <v>61366.67</v>
      </c>
      <c r="H674" s="27">
        <f t="shared" si="82"/>
        <v>61366.67</v>
      </c>
      <c r="I674" s="27">
        <f t="shared" si="82"/>
        <v>61366.67</v>
      </c>
      <c r="J674" s="27">
        <f t="shared" si="82"/>
        <v>61366.67</v>
      </c>
      <c r="K674" s="27">
        <f t="shared" si="82"/>
        <v>61366.67</v>
      </c>
      <c r="L674" s="27">
        <f t="shared" si="82"/>
        <v>61366.67</v>
      </c>
      <c r="M674" s="27">
        <f t="shared" si="82"/>
        <v>61366.67</v>
      </c>
      <c r="N674" s="27">
        <f t="shared" si="82"/>
        <v>61366.67</v>
      </c>
      <c r="O674" s="40">
        <f t="shared" si="82"/>
        <v>61529.69</v>
      </c>
      <c r="P674" s="27">
        <f t="shared" si="82"/>
        <v>736813.06</v>
      </c>
    </row>
    <row r="675" ht="13.5" customHeight="1">
      <c r="C675" s="12"/>
    </row>
    <row r="676" spans="1:3" ht="13.5" customHeight="1">
      <c r="A676" s="16"/>
      <c r="B676" s="42" t="s">
        <v>105</v>
      </c>
      <c r="C676" s="30" t="s">
        <v>274</v>
      </c>
    </row>
    <row r="677" ht="13.5" customHeight="1">
      <c r="C677" s="4" t="s">
        <v>3</v>
      </c>
    </row>
    <row r="678" ht="13.5" customHeight="1">
      <c r="C678" s="4" t="s">
        <v>4</v>
      </c>
    </row>
    <row r="679" ht="13.5" customHeight="1" thickBot="1">
      <c r="C679" s="4" t="s">
        <v>5</v>
      </c>
    </row>
    <row r="680" ht="13.5" customHeight="1" thickBot="1">
      <c r="C680" s="6" t="s">
        <v>118</v>
      </c>
    </row>
    <row r="681" ht="13.5" customHeight="1">
      <c r="C681" s="12"/>
    </row>
    <row r="682" spans="1:3" ht="13.5" customHeight="1">
      <c r="A682" s="16"/>
      <c r="B682" s="42" t="s">
        <v>105</v>
      </c>
      <c r="C682" s="30" t="s">
        <v>217</v>
      </c>
    </row>
    <row r="683" ht="13.5" customHeight="1">
      <c r="C683" s="4" t="s">
        <v>3</v>
      </c>
    </row>
    <row r="684" ht="13.5" customHeight="1">
      <c r="C684" s="4" t="s">
        <v>4</v>
      </c>
    </row>
    <row r="685" ht="13.5" customHeight="1" thickBot="1">
      <c r="C685" s="4" t="s">
        <v>5</v>
      </c>
    </row>
    <row r="686" ht="13.5" customHeight="1" thickBot="1">
      <c r="C686" s="6" t="s">
        <v>75</v>
      </c>
    </row>
    <row r="687" ht="13.5" customHeight="1">
      <c r="C687" s="12"/>
    </row>
    <row r="688" spans="1:3" ht="13.5" customHeight="1">
      <c r="A688" s="16">
        <f>+A670+1</f>
        <v>42</v>
      </c>
      <c r="C688" s="5" t="s">
        <v>218</v>
      </c>
    </row>
    <row r="689" spans="3:16" ht="13.5" customHeight="1">
      <c r="C689" s="4" t="s">
        <v>3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39">
        <v>0</v>
      </c>
      <c r="P689" s="26">
        <f>SUM(D689:O689)</f>
        <v>0</v>
      </c>
    </row>
    <row r="690" spans="3:16" ht="13.5" customHeight="1">
      <c r="C690" s="4" t="s">
        <v>4</v>
      </c>
      <c r="D690" s="47">
        <v>250</v>
      </c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55"/>
      <c r="P690" s="26">
        <f>SUM(D690:O690)</f>
        <v>250</v>
      </c>
    </row>
    <row r="691" spans="3:16" ht="13.5" customHeight="1" thickBot="1">
      <c r="C691" s="4" t="s">
        <v>5</v>
      </c>
      <c r="D691" s="26">
        <v>76200</v>
      </c>
      <c r="E691" s="26">
        <v>76200</v>
      </c>
      <c r="F691" s="26">
        <v>76200</v>
      </c>
      <c r="G691" s="26">
        <v>76200</v>
      </c>
      <c r="H691" s="26">
        <v>76200</v>
      </c>
      <c r="I691" s="26">
        <v>76200</v>
      </c>
      <c r="J691" s="26">
        <v>76200</v>
      </c>
      <c r="K691" s="26">
        <v>76200</v>
      </c>
      <c r="L691" s="26">
        <v>76200</v>
      </c>
      <c r="M691" s="26">
        <v>76200</v>
      </c>
      <c r="N691" s="26">
        <v>76200</v>
      </c>
      <c r="O691" s="55">
        <v>76133.33</v>
      </c>
      <c r="P691" s="26">
        <f>SUM(D691:O691)</f>
        <v>914333.33</v>
      </c>
    </row>
    <row r="692" spans="3:16" ht="13.5" customHeight="1" thickBot="1">
      <c r="C692" s="6" t="s">
        <v>219</v>
      </c>
      <c r="D692" s="27">
        <f aca="true" t="shared" si="83" ref="D692:P692">SUM(D689:D691)</f>
        <v>76450</v>
      </c>
      <c r="E692" s="27">
        <f t="shared" si="83"/>
        <v>76200</v>
      </c>
      <c r="F692" s="27">
        <f t="shared" si="83"/>
        <v>76200</v>
      </c>
      <c r="G692" s="27">
        <f t="shared" si="83"/>
        <v>76200</v>
      </c>
      <c r="H692" s="27">
        <f t="shared" si="83"/>
        <v>76200</v>
      </c>
      <c r="I692" s="27">
        <f t="shared" si="83"/>
        <v>76200</v>
      </c>
      <c r="J692" s="27">
        <f t="shared" si="83"/>
        <v>76200</v>
      </c>
      <c r="K692" s="27">
        <f t="shared" si="83"/>
        <v>76200</v>
      </c>
      <c r="L692" s="27">
        <f t="shared" si="83"/>
        <v>76200</v>
      </c>
      <c r="M692" s="27">
        <f t="shared" si="83"/>
        <v>76200</v>
      </c>
      <c r="N692" s="27">
        <f t="shared" si="83"/>
        <v>76200</v>
      </c>
      <c r="O692" s="40">
        <f t="shared" si="83"/>
        <v>76133.33</v>
      </c>
      <c r="P692" s="27">
        <f t="shared" si="83"/>
        <v>914583.33</v>
      </c>
    </row>
    <row r="693" ht="13.5" customHeight="1">
      <c r="C693" s="12"/>
    </row>
    <row r="694" spans="1:3" ht="13.5" customHeight="1">
      <c r="A694" s="16">
        <f>+A688+1</f>
        <v>43</v>
      </c>
      <c r="C694" s="5" t="s">
        <v>220</v>
      </c>
    </row>
    <row r="695" spans="3:16" ht="13.5" customHeight="1">
      <c r="C695" s="4" t="s">
        <v>3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39">
        <v>0</v>
      </c>
      <c r="P695" s="26">
        <f>SUM(D695:O695)</f>
        <v>0</v>
      </c>
    </row>
    <row r="696" spans="3:16" ht="13.5" customHeight="1">
      <c r="C696" s="4" t="s">
        <v>4</v>
      </c>
      <c r="D696" s="47">
        <v>250</v>
      </c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55"/>
      <c r="P696" s="26">
        <f>SUM(D696:O696)</f>
        <v>250</v>
      </c>
    </row>
    <row r="697" spans="3:16" ht="13.5" customHeight="1" thickBot="1">
      <c r="C697" s="4" t="s">
        <v>5</v>
      </c>
      <c r="D697" s="26">
        <f>44517.5+51534.37</f>
        <v>96051.87</v>
      </c>
      <c r="E697" s="47">
        <f>46031.67+50020.78</f>
        <v>96052.45</v>
      </c>
      <c r="F697" s="47">
        <f aca="true" t="shared" si="84" ref="F697:P697">46031.67+50020.78</f>
        <v>96052.45</v>
      </c>
      <c r="G697" s="47">
        <f t="shared" si="84"/>
        <v>96052.45</v>
      </c>
      <c r="H697" s="47">
        <f t="shared" si="84"/>
        <v>96052.45</v>
      </c>
      <c r="I697" s="47">
        <f t="shared" si="84"/>
        <v>96052.45</v>
      </c>
      <c r="J697" s="47">
        <f t="shared" si="84"/>
        <v>96052.45</v>
      </c>
      <c r="K697" s="47">
        <f t="shared" si="84"/>
        <v>96052.45</v>
      </c>
      <c r="L697" s="47">
        <f t="shared" si="84"/>
        <v>96052.45</v>
      </c>
      <c r="M697" s="47">
        <f t="shared" si="84"/>
        <v>96052.45</v>
      </c>
      <c r="N697" s="47">
        <f t="shared" si="84"/>
        <v>96052.45</v>
      </c>
      <c r="O697" s="55">
        <f t="shared" si="84"/>
        <v>96052.45</v>
      </c>
      <c r="P697" s="26">
        <f>SUM(D697:O697)</f>
        <v>1152628.8199999998</v>
      </c>
    </row>
    <row r="698" spans="3:16" ht="13.5" customHeight="1" thickBot="1">
      <c r="C698" s="6" t="s">
        <v>40</v>
      </c>
      <c r="D698" s="27">
        <f aca="true" t="shared" si="85" ref="D698:P698">SUM(D695:D697)</f>
        <v>96301.87</v>
      </c>
      <c r="E698" s="27">
        <f t="shared" si="85"/>
        <v>96052.45</v>
      </c>
      <c r="F698" s="27">
        <f t="shared" si="85"/>
        <v>96052.45</v>
      </c>
      <c r="G698" s="27">
        <f t="shared" si="85"/>
        <v>96052.45</v>
      </c>
      <c r="H698" s="27">
        <f t="shared" si="85"/>
        <v>96052.45</v>
      </c>
      <c r="I698" s="27">
        <f t="shared" si="85"/>
        <v>96052.45</v>
      </c>
      <c r="J698" s="27">
        <f t="shared" si="85"/>
        <v>96052.45</v>
      </c>
      <c r="K698" s="27">
        <f t="shared" si="85"/>
        <v>96052.45</v>
      </c>
      <c r="L698" s="27">
        <f t="shared" si="85"/>
        <v>96052.45</v>
      </c>
      <c r="M698" s="27">
        <f t="shared" si="85"/>
        <v>96052.45</v>
      </c>
      <c r="N698" s="27">
        <f t="shared" si="85"/>
        <v>96052.45</v>
      </c>
      <c r="O698" s="40">
        <f t="shared" si="85"/>
        <v>96052.45</v>
      </c>
      <c r="P698" s="27">
        <f t="shared" si="85"/>
        <v>1152878.8199999998</v>
      </c>
    </row>
    <row r="699" ht="13.5" customHeight="1">
      <c r="C699" s="12"/>
    </row>
    <row r="700" spans="1:3" ht="13.5" customHeight="1">
      <c r="A700" s="16">
        <f>+A694+1</f>
        <v>44</v>
      </c>
      <c r="B700" s="1" t="s">
        <v>250</v>
      </c>
      <c r="C700" s="5" t="s">
        <v>221</v>
      </c>
    </row>
    <row r="701" spans="3:16" ht="13.5" customHeight="1">
      <c r="C701" s="4" t="s">
        <v>3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39">
        <v>0</v>
      </c>
      <c r="P701" s="26">
        <f>SUM(D701:O701)</f>
        <v>0</v>
      </c>
    </row>
    <row r="702" spans="3:16" ht="13.5" customHeight="1">
      <c r="C702" s="4" t="s">
        <v>4</v>
      </c>
      <c r="D702" s="47">
        <v>77.59</v>
      </c>
      <c r="P702" s="26">
        <f>SUM(D702:O702)</f>
        <v>77.59</v>
      </c>
    </row>
    <row r="703" spans="3:16" ht="13.5" customHeight="1" thickBot="1">
      <c r="C703" s="4" t="s">
        <v>5</v>
      </c>
      <c r="D703" s="26">
        <v>28532.75</v>
      </c>
      <c r="E703" s="26">
        <v>28532.75</v>
      </c>
      <c r="F703" s="26">
        <v>28532.75</v>
      </c>
      <c r="G703" s="26">
        <v>28532.75</v>
      </c>
      <c r="H703" s="26">
        <v>28532.75</v>
      </c>
      <c r="I703" s="26">
        <v>28532.75</v>
      </c>
      <c r="J703" s="26">
        <v>28532.75</v>
      </c>
      <c r="K703" s="26">
        <v>28532.75</v>
      </c>
      <c r="L703" s="26">
        <v>28532.75</v>
      </c>
      <c r="M703" s="26">
        <v>28532.75</v>
      </c>
      <c r="N703" s="26">
        <v>28532.75</v>
      </c>
      <c r="O703" s="39">
        <v>28532.75</v>
      </c>
      <c r="P703" s="26">
        <f>SUM(D703:O703)</f>
        <v>342393</v>
      </c>
    </row>
    <row r="704" spans="3:16" ht="13.5" customHeight="1" thickBot="1">
      <c r="C704" s="6" t="s">
        <v>30</v>
      </c>
      <c r="D704" s="27">
        <f aca="true" t="shared" si="86" ref="D704:P704">SUM(D701:D703)</f>
        <v>28610.34</v>
      </c>
      <c r="E704" s="27">
        <f t="shared" si="86"/>
        <v>28532.75</v>
      </c>
      <c r="F704" s="27">
        <f t="shared" si="86"/>
        <v>28532.75</v>
      </c>
      <c r="G704" s="27">
        <f t="shared" si="86"/>
        <v>28532.75</v>
      </c>
      <c r="H704" s="27">
        <f t="shared" si="86"/>
        <v>28532.75</v>
      </c>
      <c r="I704" s="27">
        <f t="shared" si="86"/>
        <v>28532.75</v>
      </c>
      <c r="J704" s="27">
        <f t="shared" si="86"/>
        <v>28532.75</v>
      </c>
      <c r="K704" s="27">
        <f t="shared" si="86"/>
        <v>28532.75</v>
      </c>
      <c r="L704" s="27">
        <f t="shared" si="86"/>
        <v>28532.75</v>
      </c>
      <c r="M704" s="27">
        <f t="shared" si="86"/>
        <v>28532.75</v>
      </c>
      <c r="N704" s="27">
        <f t="shared" si="86"/>
        <v>28532.75</v>
      </c>
      <c r="O704" s="40">
        <f t="shared" si="86"/>
        <v>28532.75</v>
      </c>
      <c r="P704" s="27">
        <f t="shared" si="86"/>
        <v>342470.59</v>
      </c>
    </row>
    <row r="705" ht="13.5" customHeight="1">
      <c r="C705" s="12"/>
    </row>
    <row r="706" spans="1:3" ht="13.5" customHeight="1">
      <c r="A706" s="1">
        <f>A700</f>
        <v>44</v>
      </c>
      <c r="B706" s="1" t="s">
        <v>251</v>
      </c>
      <c r="C706" s="5" t="s">
        <v>222</v>
      </c>
    </row>
    <row r="707" spans="3:16" ht="13.5" customHeight="1">
      <c r="C707" s="4" t="s">
        <v>3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39">
        <v>0</v>
      </c>
      <c r="P707" s="26">
        <f>SUM(D707:O707)</f>
        <v>0</v>
      </c>
    </row>
    <row r="708" spans="3:16" ht="13.5" customHeight="1">
      <c r="C708" s="4" t="s">
        <v>4</v>
      </c>
      <c r="D708" s="47">
        <v>83.33</v>
      </c>
      <c r="P708" s="26">
        <f>SUM(D708:O708)</f>
        <v>83.33</v>
      </c>
    </row>
    <row r="709" spans="3:16" ht="13.5" customHeight="1" thickBot="1">
      <c r="C709" s="4" t="s">
        <v>5</v>
      </c>
      <c r="D709" s="26">
        <v>29630.16</v>
      </c>
      <c r="E709" s="26">
        <v>29630.16</v>
      </c>
      <c r="F709" s="26">
        <v>29630.16</v>
      </c>
      <c r="G709" s="26">
        <v>29630.16</v>
      </c>
      <c r="H709" s="26">
        <v>29630.16</v>
      </c>
      <c r="I709" s="26">
        <v>29630.16</v>
      </c>
      <c r="J709" s="26">
        <v>29630.16</v>
      </c>
      <c r="K709" s="26">
        <v>29630.16</v>
      </c>
      <c r="L709" s="26">
        <v>29630.16</v>
      </c>
      <c r="M709" s="26">
        <v>29630.16</v>
      </c>
      <c r="N709" s="26">
        <v>29630.16</v>
      </c>
      <c r="O709" s="39">
        <v>29630.16</v>
      </c>
      <c r="P709" s="26">
        <f>SUM(D709:O709)</f>
        <v>355561.9199999999</v>
      </c>
    </row>
    <row r="710" spans="3:16" ht="13.5" customHeight="1" thickBot="1">
      <c r="C710" s="6" t="s">
        <v>32</v>
      </c>
      <c r="D710" s="27">
        <f aca="true" t="shared" si="87" ref="D710:P710">SUM(D707:D709)</f>
        <v>29713.49</v>
      </c>
      <c r="E710" s="27">
        <f t="shared" si="87"/>
        <v>29630.16</v>
      </c>
      <c r="F710" s="27">
        <f t="shared" si="87"/>
        <v>29630.16</v>
      </c>
      <c r="G710" s="27">
        <f t="shared" si="87"/>
        <v>29630.16</v>
      </c>
      <c r="H710" s="27">
        <f t="shared" si="87"/>
        <v>29630.16</v>
      </c>
      <c r="I710" s="27">
        <f t="shared" si="87"/>
        <v>29630.16</v>
      </c>
      <c r="J710" s="27">
        <f t="shared" si="87"/>
        <v>29630.16</v>
      </c>
      <c r="K710" s="27">
        <f t="shared" si="87"/>
        <v>29630.16</v>
      </c>
      <c r="L710" s="27">
        <f t="shared" si="87"/>
        <v>29630.16</v>
      </c>
      <c r="M710" s="27">
        <f t="shared" si="87"/>
        <v>29630.16</v>
      </c>
      <c r="N710" s="27">
        <f t="shared" si="87"/>
        <v>29630.16</v>
      </c>
      <c r="O710" s="40">
        <f t="shared" si="87"/>
        <v>29630.16</v>
      </c>
      <c r="P710" s="27">
        <f t="shared" si="87"/>
        <v>355645.24999999994</v>
      </c>
    </row>
    <row r="711" ht="13.5" customHeight="1">
      <c r="C711" s="12"/>
    </row>
    <row r="712" spans="1:3" ht="13.5" customHeight="1">
      <c r="A712" s="1">
        <f>A700</f>
        <v>44</v>
      </c>
      <c r="B712" s="1" t="s">
        <v>252</v>
      </c>
      <c r="C712" s="5" t="s">
        <v>223</v>
      </c>
    </row>
    <row r="713" spans="3:16" ht="13.5" customHeight="1">
      <c r="C713" s="4" t="s">
        <v>3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39">
        <v>0</v>
      </c>
      <c r="P713" s="26">
        <f>SUM(D713:O713)</f>
        <v>0</v>
      </c>
    </row>
    <row r="714" spans="3:16" ht="13.5" customHeight="1">
      <c r="C714" s="4" t="s">
        <v>4</v>
      </c>
      <c r="D714" s="47">
        <v>89.08</v>
      </c>
      <c r="P714" s="26">
        <f>SUM(D714:O714)</f>
        <v>89.08</v>
      </c>
    </row>
    <row r="715" spans="3:16" ht="13.5" customHeight="1" thickBot="1">
      <c r="C715" s="4" t="s">
        <v>5</v>
      </c>
      <c r="D715" s="26">
        <v>31824.99</v>
      </c>
      <c r="E715" s="26">
        <v>31824.99</v>
      </c>
      <c r="F715" s="26">
        <v>31824.99</v>
      </c>
      <c r="G715" s="26">
        <v>31824.99</v>
      </c>
      <c r="H715" s="26">
        <v>31824.99</v>
      </c>
      <c r="I715" s="26">
        <v>31824.99</v>
      </c>
      <c r="J715" s="26">
        <v>31824.99</v>
      </c>
      <c r="K715" s="26">
        <v>31824.99</v>
      </c>
      <c r="L715" s="26">
        <v>31824.99</v>
      </c>
      <c r="M715" s="26">
        <v>31824.99</v>
      </c>
      <c r="N715" s="26">
        <v>31824.99</v>
      </c>
      <c r="O715" s="39">
        <v>31824.99</v>
      </c>
      <c r="P715" s="26">
        <f>SUM(D715:O715)</f>
        <v>381899.87999999995</v>
      </c>
    </row>
    <row r="716" spans="3:16" ht="13.5" customHeight="1" thickBot="1">
      <c r="C716" s="6" t="s">
        <v>83</v>
      </c>
      <c r="D716" s="27">
        <f aca="true" t="shared" si="88" ref="D716:P716">SUM(D713:D715)</f>
        <v>31914.070000000003</v>
      </c>
      <c r="E716" s="27">
        <f t="shared" si="88"/>
        <v>31824.99</v>
      </c>
      <c r="F716" s="27">
        <f t="shared" si="88"/>
        <v>31824.99</v>
      </c>
      <c r="G716" s="27">
        <f t="shared" si="88"/>
        <v>31824.99</v>
      </c>
      <c r="H716" s="27">
        <f t="shared" si="88"/>
        <v>31824.99</v>
      </c>
      <c r="I716" s="27">
        <f t="shared" si="88"/>
        <v>31824.99</v>
      </c>
      <c r="J716" s="27">
        <f t="shared" si="88"/>
        <v>31824.99</v>
      </c>
      <c r="K716" s="27">
        <f t="shared" si="88"/>
        <v>31824.99</v>
      </c>
      <c r="L716" s="27">
        <f t="shared" si="88"/>
        <v>31824.99</v>
      </c>
      <c r="M716" s="27">
        <f t="shared" si="88"/>
        <v>31824.99</v>
      </c>
      <c r="N716" s="27">
        <f t="shared" si="88"/>
        <v>31824.99</v>
      </c>
      <c r="O716" s="40">
        <f t="shared" si="88"/>
        <v>31824.99</v>
      </c>
      <c r="P716" s="27">
        <f t="shared" si="88"/>
        <v>381988.95999999996</v>
      </c>
    </row>
    <row r="717" ht="13.5" customHeight="1">
      <c r="C717" s="12"/>
    </row>
    <row r="718" spans="1:3" ht="13.5" customHeight="1">
      <c r="A718" s="1">
        <f>+A700+1</f>
        <v>45</v>
      </c>
      <c r="B718" s="45" t="s">
        <v>103</v>
      </c>
      <c r="C718" s="36" t="s">
        <v>224</v>
      </c>
    </row>
    <row r="719" spans="3:16" ht="13.5" customHeight="1">
      <c r="C719" s="4" t="s">
        <v>3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39">
        <v>0</v>
      </c>
      <c r="P719" s="26">
        <f>SUM(D719:O719)</f>
        <v>0</v>
      </c>
    </row>
    <row r="720" spans="3:16" ht="13.5" customHeight="1">
      <c r="C720" s="4" t="s">
        <v>4</v>
      </c>
      <c r="D720" s="47">
        <v>250</v>
      </c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55"/>
      <c r="P720" s="26">
        <f>SUM(D720:O720)</f>
        <v>250</v>
      </c>
    </row>
    <row r="721" spans="3:16" ht="13.5" customHeight="1" thickBot="1">
      <c r="C721" s="4" t="s">
        <v>5</v>
      </c>
      <c r="D721" s="26">
        <v>19753.44</v>
      </c>
      <c r="E721" s="26">
        <v>19753.44</v>
      </c>
      <c r="F721" s="26">
        <v>19753.44</v>
      </c>
      <c r="G721" s="26">
        <v>19753.44</v>
      </c>
      <c r="H721" s="26">
        <v>19753.44</v>
      </c>
      <c r="I721" s="26">
        <v>19753.44</v>
      </c>
      <c r="J721" s="26">
        <v>19753.44</v>
      </c>
      <c r="K721" s="26">
        <v>19753.44</v>
      </c>
      <c r="L721" s="26">
        <v>19753.44</v>
      </c>
      <c r="M721" s="26">
        <v>19753.44</v>
      </c>
      <c r="N721" s="26">
        <v>19753.44</v>
      </c>
      <c r="O721" s="39">
        <v>19753.44</v>
      </c>
      <c r="P721" s="26">
        <f>SUM(D721:O721)</f>
        <v>237041.28</v>
      </c>
    </row>
    <row r="722" spans="3:16" ht="13.5" customHeight="1" thickBot="1">
      <c r="C722" s="6" t="s">
        <v>225</v>
      </c>
      <c r="D722" s="27">
        <f aca="true" t="shared" si="89" ref="D722:P722">SUM(D719:D721)</f>
        <v>20003.44</v>
      </c>
      <c r="E722" s="27">
        <f t="shared" si="89"/>
        <v>19753.44</v>
      </c>
      <c r="F722" s="27">
        <f t="shared" si="89"/>
        <v>19753.44</v>
      </c>
      <c r="G722" s="27">
        <f t="shared" si="89"/>
        <v>19753.44</v>
      </c>
      <c r="H722" s="27">
        <f t="shared" si="89"/>
        <v>19753.44</v>
      </c>
      <c r="I722" s="27">
        <f t="shared" si="89"/>
        <v>19753.44</v>
      </c>
      <c r="J722" s="27">
        <f t="shared" si="89"/>
        <v>19753.44</v>
      </c>
      <c r="K722" s="27">
        <f t="shared" si="89"/>
        <v>19753.44</v>
      </c>
      <c r="L722" s="27">
        <f t="shared" si="89"/>
        <v>19753.44</v>
      </c>
      <c r="M722" s="27">
        <f t="shared" si="89"/>
        <v>19753.44</v>
      </c>
      <c r="N722" s="27">
        <f t="shared" si="89"/>
        <v>19753.44</v>
      </c>
      <c r="O722" s="40">
        <f t="shared" si="89"/>
        <v>19753.44</v>
      </c>
      <c r="P722" s="27">
        <f t="shared" si="89"/>
        <v>237291.28</v>
      </c>
    </row>
    <row r="723" ht="13.5" customHeight="1">
      <c r="C723" s="12"/>
    </row>
    <row r="724" spans="1:3" ht="13.5" customHeight="1">
      <c r="A724" s="1">
        <f>A718+1</f>
        <v>46</v>
      </c>
      <c r="B724" s="21"/>
      <c r="C724" s="5" t="s">
        <v>226</v>
      </c>
    </row>
    <row r="725" spans="3:16" ht="13.5" customHeight="1">
      <c r="C725" s="4" t="s">
        <v>3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39">
        <v>0</v>
      </c>
      <c r="P725" s="49">
        <f>SUM(D725:O725)</f>
        <v>0</v>
      </c>
    </row>
    <row r="726" spans="3:16" ht="13.5" customHeight="1">
      <c r="C726" s="4" t="s">
        <v>4</v>
      </c>
      <c r="D726" s="47">
        <v>250</v>
      </c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55"/>
      <c r="P726" s="49">
        <f>SUM(D726:O726)</f>
        <v>250</v>
      </c>
    </row>
    <row r="727" spans="3:16" ht="13.5" customHeight="1" thickBot="1">
      <c r="C727" s="4" t="s">
        <v>5</v>
      </c>
      <c r="D727" s="47">
        <f>60416.67+130742.5</f>
        <v>191159.16999999998</v>
      </c>
      <c r="E727" s="47">
        <f>60416.67+130742.5</f>
        <v>191159.16999999998</v>
      </c>
      <c r="F727" s="47">
        <f>60416.67+130742.5</f>
        <v>191159.16999999998</v>
      </c>
      <c r="G727" s="47">
        <f>60416.67+130742.5</f>
        <v>191159.16999999998</v>
      </c>
      <c r="H727" s="47">
        <f>60416.63+130742.5</f>
        <v>191159.13</v>
      </c>
      <c r="I727" s="47">
        <f>62916.67+128205</f>
        <v>191121.66999999998</v>
      </c>
      <c r="J727" s="47">
        <f aca="true" t="shared" si="90" ref="J727:P727">62916.67+128205</f>
        <v>191121.66999999998</v>
      </c>
      <c r="K727" s="47">
        <f t="shared" si="90"/>
        <v>191121.66999999998</v>
      </c>
      <c r="L727" s="47">
        <f t="shared" si="90"/>
        <v>191121.66999999998</v>
      </c>
      <c r="M727" s="47">
        <f t="shared" si="90"/>
        <v>191121.66999999998</v>
      </c>
      <c r="N727" s="47">
        <f t="shared" si="90"/>
        <v>191121.66999999998</v>
      </c>
      <c r="O727" s="55">
        <f t="shared" si="90"/>
        <v>191121.66999999998</v>
      </c>
      <c r="P727" s="49">
        <f>SUM(D727:O727)</f>
        <v>2293647.4999999995</v>
      </c>
    </row>
    <row r="728" spans="3:16" ht="13.5" customHeight="1" thickBot="1">
      <c r="C728" s="6" t="s">
        <v>116</v>
      </c>
      <c r="D728" s="50">
        <f aca="true" t="shared" si="91" ref="D728:P728">SUM(D725:D727)</f>
        <v>191409.16999999998</v>
      </c>
      <c r="E728" s="50">
        <f t="shared" si="91"/>
        <v>191159.16999999998</v>
      </c>
      <c r="F728" s="50">
        <f t="shared" si="91"/>
        <v>191159.16999999998</v>
      </c>
      <c r="G728" s="50">
        <f t="shared" si="91"/>
        <v>191159.16999999998</v>
      </c>
      <c r="H728" s="50">
        <f t="shared" si="91"/>
        <v>191159.13</v>
      </c>
      <c r="I728" s="50">
        <f t="shared" si="91"/>
        <v>191121.66999999998</v>
      </c>
      <c r="J728" s="50">
        <f t="shared" si="91"/>
        <v>191121.66999999998</v>
      </c>
      <c r="K728" s="50">
        <f t="shared" si="91"/>
        <v>191121.66999999998</v>
      </c>
      <c r="L728" s="50">
        <f t="shared" si="91"/>
        <v>191121.66999999998</v>
      </c>
      <c r="M728" s="50">
        <f t="shared" si="91"/>
        <v>191121.66999999998</v>
      </c>
      <c r="N728" s="50">
        <f t="shared" si="91"/>
        <v>191121.66999999998</v>
      </c>
      <c r="O728" s="52">
        <f t="shared" si="91"/>
        <v>191121.66999999998</v>
      </c>
      <c r="P728" s="50">
        <f t="shared" si="91"/>
        <v>2293897.4999999995</v>
      </c>
    </row>
    <row r="729" spans="3:16" ht="13.5" customHeight="1">
      <c r="C729" s="12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55"/>
      <c r="P729" s="47"/>
    </row>
    <row r="730" spans="1:3" ht="13.5" customHeight="1">
      <c r="A730" s="1">
        <f>A724+1</f>
        <v>47</v>
      </c>
      <c r="B730" s="21"/>
      <c r="C730" s="5" t="s">
        <v>227</v>
      </c>
    </row>
    <row r="731" spans="3:16" ht="13.5" customHeight="1">
      <c r="C731" s="4" t="s">
        <v>3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39">
        <v>0</v>
      </c>
      <c r="P731" s="26">
        <f>SUM(D731:O731)</f>
        <v>0</v>
      </c>
    </row>
    <row r="732" spans="3:16" ht="13.5" customHeight="1">
      <c r="C732" s="4" t="s">
        <v>4</v>
      </c>
      <c r="D732" s="47">
        <v>250</v>
      </c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55"/>
      <c r="P732" s="26">
        <f>SUM(D732:O732)</f>
        <v>250</v>
      </c>
    </row>
    <row r="733" spans="3:16" ht="13.5" customHeight="1" thickBot="1">
      <c r="C733" s="4" t="s">
        <v>5</v>
      </c>
      <c r="D733" s="47">
        <f>14191.66+17116.77</f>
        <v>31308.43</v>
      </c>
      <c r="E733" s="47">
        <f>14191.66+17116.77</f>
        <v>31308.43</v>
      </c>
      <c r="F733" s="47">
        <f>14191.66+17116.77</f>
        <v>31308.43</v>
      </c>
      <c r="G733" s="47">
        <f>14191.66+17116.77</f>
        <v>31308.43</v>
      </c>
      <c r="H733" s="47">
        <f>14191.66+17116.77</f>
        <v>31308.43</v>
      </c>
      <c r="I733" s="47">
        <f>14688.37+16620.06</f>
        <v>31308.43</v>
      </c>
      <c r="J733" s="47">
        <f aca="true" t="shared" si="92" ref="J733:P733">14688.37+16620.06</f>
        <v>31308.43</v>
      </c>
      <c r="K733" s="47">
        <f t="shared" si="92"/>
        <v>31308.43</v>
      </c>
      <c r="L733" s="47">
        <f t="shared" si="92"/>
        <v>31308.43</v>
      </c>
      <c r="M733" s="47">
        <f t="shared" si="92"/>
        <v>31308.43</v>
      </c>
      <c r="N733" s="47">
        <f t="shared" si="92"/>
        <v>31308.43</v>
      </c>
      <c r="O733" s="55">
        <f t="shared" si="92"/>
        <v>31308.43</v>
      </c>
      <c r="P733" s="26">
        <f>SUM(D733:O733)</f>
        <v>375701.16</v>
      </c>
    </row>
    <row r="734" spans="3:16" ht="13.5" customHeight="1" thickBot="1">
      <c r="C734" s="6" t="s">
        <v>111</v>
      </c>
      <c r="D734" s="27">
        <f aca="true" t="shared" si="93" ref="D734:P734">SUM(D731:D733)</f>
        <v>31558.43</v>
      </c>
      <c r="E734" s="27">
        <f t="shared" si="93"/>
        <v>31308.43</v>
      </c>
      <c r="F734" s="27">
        <f t="shared" si="93"/>
        <v>31308.43</v>
      </c>
      <c r="G734" s="27">
        <f t="shared" si="93"/>
        <v>31308.43</v>
      </c>
      <c r="H734" s="27">
        <f t="shared" si="93"/>
        <v>31308.43</v>
      </c>
      <c r="I734" s="27">
        <f t="shared" si="93"/>
        <v>31308.43</v>
      </c>
      <c r="J734" s="27">
        <f t="shared" si="93"/>
        <v>31308.43</v>
      </c>
      <c r="K734" s="27">
        <f t="shared" si="93"/>
        <v>31308.43</v>
      </c>
      <c r="L734" s="27">
        <f t="shared" si="93"/>
        <v>31308.43</v>
      </c>
      <c r="M734" s="27">
        <f t="shared" si="93"/>
        <v>31308.43</v>
      </c>
      <c r="N734" s="27">
        <f t="shared" si="93"/>
        <v>31308.43</v>
      </c>
      <c r="O734" s="40">
        <f t="shared" si="93"/>
        <v>31308.43</v>
      </c>
      <c r="P734" s="27">
        <f t="shared" si="93"/>
        <v>375951.16</v>
      </c>
    </row>
    <row r="735" ht="13.5" customHeight="1">
      <c r="C735" s="12"/>
    </row>
    <row r="736" spans="2:3" ht="13.5" customHeight="1">
      <c r="B736" s="42" t="s">
        <v>105</v>
      </c>
      <c r="C736" s="30" t="s">
        <v>228</v>
      </c>
    </row>
    <row r="737" ht="13.5" customHeight="1">
      <c r="C737" s="4" t="s">
        <v>3</v>
      </c>
    </row>
    <row r="738" ht="13.5" customHeight="1">
      <c r="C738" s="4" t="s">
        <v>4</v>
      </c>
    </row>
    <row r="739" ht="13.5" customHeight="1" thickBot="1">
      <c r="C739" s="4" t="s">
        <v>5</v>
      </c>
    </row>
    <row r="740" ht="13.5" customHeight="1" thickBot="1">
      <c r="C740" s="6" t="s">
        <v>229</v>
      </c>
    </row>
    <row r="741" ht="13.5" customHeight="1">
      <c r="C741" s="12"/>
    </row>
    <row r="742" spans="1:3" ht="13.5" customHeight="1">
      <c r="A742" s="1">
        <f>A730+1</f>
        <v>48</v>
      </c>
      <c r="B742" s="21"/>
      <c r="C742" s="5" t="s">
        <v>188</v>
      </c>
    </row>
    <row r="743" spans="3:16" ht="13.5" customHeight="1">
      <c r="C743" s="4" t="s">
        <v>3</v>
      </c>
      <c r="D743" s="26">
        <v>250</v>
      </c>
      <c r="E743" s="26">
        <v>250</v>
      </c>
      <c r="F743" s="26">
        <v>250</v>
      </c>
      <c r="G743" s="26">
        <v>250</v>
      </c>
      <c r="H743" s="26">
        <v>250</v>
      </c>
      <c r="I743" s="47">
        <v>244.17</v>
      </c>
      <c r="J743" s="47">
        <v>244.17</v>
      </c>
      <c r="K743" s="47">
        <v>244.17</v>
      </c>
      <c r="L743" s="47">
        <v>244.17</v>
      </c>
      <c r="M743" s="47">
        <v>244.17</v>
      </c>
      <c r="N743" s="47">
        <v>244.17</v>
      </c>
      <c r="O743" s="55">
        <v>244.17</v>
      </c>
      <c r="P743" s="26">
        <f>SUM(D743:O743)</f>
        <v>2959.1900000000005</v>
      </c>
    </row>
    <row r="744" spans="3:16" ht="13.5" customHeight="1">
      <c r="C744" s="4" t="s">
        <v>4</v>
      </c>
      <c r="D744" s="47">
        <v>250</v>
      </c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55"/>
      <c r="P744" s="26">
        <f>SUM(D744:O744)</f>
        <v>250</v>
      </c>
    </row>
    <row r="745" spans="3:16" ht="13.5" customHeight="1" thickBot="1">
      <c r="C745" s="4" t="s">
        <v>5</v>
      </c>
      <c r="D745" s="47">
        <f>5833.33+8877.61</f>
        <v>14710.94</v>
      </c>
      <c r="E745" s="47">
        <f>5833.33+8877.61</f>
        <v>14710.94</v>
      </c>
      <c r="F745" s="47">
        <f>5833.33+8877.61</f>
        <v>14710.94</v>
      </c>
      <c r="G745" s="47">
        <f>5833.33+8877.61</f>
        <v>14710.94</v>
      </c>
      <c r="H745" s="47">
        <f>5833.33+8877.61</f>
        <v>14710.94</v>
      </c>
      <c r="I745" s="47">
        <f>5833.37+8877.58</f>
        <v>14710.95</v>
      </c>
      <c r="J745" s="47">
        <f>5833.33+8760.94</f>
        <v>14594.27</v>
      </c>
      <c r="K745" s="47">
        <f>5833.33+8760.94</f>
        <v>14594.27</v>
      </c>
      <c r="L745" s="47">
        <f>5833.33+8760.94</f>
        <v>14594.27</v>
      </c>
      <c r="M745" s="47">
        <f>5833.33+8760.94</f>
        <v>14594.27</v>
      </c>
      <c r="N745" s="47">
        <f>5833.33+8760.94</f>
        <v>14594.27</v>
      </c>
      <c r="O745" s="55">
        <f>5833.33+8760.93</f>
        <v>14594.26</v>
      </c>
      <c r="P745" s="26">
        <f>SUM(D745:O745)</f>
        <v>175831.25999999998</v>
      </c>
    </row>
    <row r="746" spans="3:16" ht="13.5" customHeight="1" thickBot="1">
      <c r="C746" s="6" t="s">
        <v>189</v>
      </c>
      <c r="D746" s="27">
        <f aca="true" t="shared" si="94" ref="D746:P746">SUM(D743:D745)</f>
        <v>15210.94</v>
      </c>
      <c r="E746" s="27">
        <f t="shared" si="94"/>
        <v>14960.94</v>
      </c>
      <c r="F746" s="27">
        <f t="shared" si="94"/>
        <v>14960.94</v>
      </c>
      <c r="G746" s="27">
        <f t="shared" si="94"/>
        <v>14960.94</v>
      </c>
      <c r="H746" s="27">
        <f t="shared" si="94"/>
        <v>14960.94</v>
      </c>
      <c r="I746" s="27">
        <f t="shared" si="94"/>
        <v>14955.12</v>
      </c>
      <c r="J746" s="27">
        <f t="shared" si="94"/>
        <v>14838.44</v>
      </c>
      <c r="K746" s="27">
        <f t="shared" si="94"/>
        <v>14838.44</v>
      </c>
      <c r="L746" s="27">
        <f t="shared" si="94"/>
        <v>14838.44</v>
      </c>
      <c r="M746" s="27">
        <f t="shared" si="94"/>
        <v>14838.44</v>
      </c>
      <c r="N746" s="27">
        <f t="shared" si="94"/>
        <v>14838.44</v>
      </c>
      <c r="O746" s="40">
        <f t="shared" si="94"/>
        <v>14838.43</v>
      </c>
      <c r="P746" s="27">
        <f t="shared" si="94"/>
        <v>179040.44999999998</v>
      </c>
    </row>
    <row r="747" ht="13.5" customHeight="1">
      <c r="C747" s="12"/>
    </row>
    <row r="748" spans="1:3" ht="13.5" customHeight="1">
      <c r="A748" s="1">
        <f>A742+1</f>
        <v>49</v>
      </c>
      <c r="B748" s="21"/>
      <c r="C748" s="5" t="s">
        <v>230</v>
      </c>
    </row>
    <row r="749" spans="3:16" ht="13.5" customHeight="1">
      <c r="C749" s="4" t="s">
        <v>3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39">
        <v>0</v>
      </c>
      <c r="P749" s="26">
        <f>SUM(D749:O749)</f>
        <v>0</v>
      </c>
    </row>
    <row r="750" spans="3:16" ht="13.5" customHeight="1">
      <c r="C750" s="4" t="s">
        <v>4</v>
      </c>
      <c r="D750" s="47">
        <v>250</v>
      </c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55"/>
      <c r="P750" s="26">
        <f>SUM(D750:O750)</f>
        <v>250</v>
      </c>
    </row>
    <row r="751" spans="3:16" ht="13.5" customHeight="1" thickBot="1">
      <c r="C751" s="4" t="s">
        <v>5</v>
      </c>
      <c r="D751" s="26">
        <f aca="true" t="shared" si="95" ref="D751:L751">10833.33+39945.83</f>
        <v>50779.16</v>
      </c>
      <c r="E751" s="26">
        <f t="shared" si="95"/>
        <v>50779.16</v>
      </c>
      <c r="F751" s="26">
        <f t="shared" si="95"/>
        <v>50779.16</v>
      </c>
      <c r="G751" s="26">
        <f>10833.33+39945.85</f>
        <v>50779.18</v>
      </c>
      <c r="H751" s="26">
        <f t="shared" si="95"/>
        <v>50779.16</v>
      </c>
      <c r="I751" s="26">
        <f t="shared" si="95"/>
        <v>50779.16</v>
      </c>
      <c r="J751" s="26">
        <f t="shared" si="95"/>
        <v>50779.16</v>
      </c>
      <c r="K751" s="26">
        <f t="shared" si="95"/>
        <v>50779.16</v>
      </c>
      <c r="L751" s="26">
        <f t="shared" si="95"/>
        <v>50779.16</v>
      </c>
      <c r="M751" s="26">
        <f>10833.37+39945.85</f>
        <v>50779.22</v>
      </c>
      <c r="N751" s="47">
        <f>11250+39256.25</f>
        <v>50506.25</v>
      </c>
      <c r="O751" s="55">
        <f>11250+39256.25</f>
        <v>50506.25</v>
      </c>
      <c r="P751" s="26">
        <f>SUM(D751:O751)</f>
        <v>608804.18</v>
      </c>
    </row>
    <row r="752" spans="3:16" ht="13.5" customHeight="1" thickBot="1">
      <c r="C752" s="6" t="s">
        <v>187</v>
      </c>
      <c r="D752" s="27">
        <f aca="true" t="shared" si="96" ref="D752:P752">SUM(D749:D751)</f>
        <v>51029.16</v>
      </c>
      <c r="E752" s="27">
        <f t="shared" si="96"/>
        <v>50779.16</v>
      </c>
      <c r="F752" s="27">
        <f t="shared" si="96"/>
        <v>50779.16</v>
      </c>
      <c r="G752" s="27">
        <f t="shared" si="96"/>
        <v>50779.18</v>
      </c>
      <c r="H752" s="27">
        <f t="shared" si="96"/>
        <v>50779.16</v>
      </c>
      <c r="I752" s="27">
        <f t="shared" si="96"/>
        <v>50779.16</v>
      </c>
      <c r="J752" s="27">
        <f t="shared" si="96"/>
        <v>50779.16</v>
      </c>
      <c r="K752" s="27">
        <f t="shared" si="96"/>
        <v>50779.16</v>
      </c>
      <c r="L752" s="27">
        <f t="shared" si="96"/>
        <v>50779.16</v>
      </c>
      <c r="M752" s="27">
        <f t="shared" si="96"/>
        <v>50779.22</v>
      </c>
      <c r="N752" s="27">
        <f t="shared" si="96"/>
        <v>50506.25</v>
      </c>
      <c r="O752" s="40">
        <f t="shared" si="96"/>
        <v>50506.25</v>
      </c>
      <c r="P752" s="27">
        <f t="shared" si="96"/>
        <v>609054.18</v>
      </c>
    </row>
    <row r="753" ht="13.5" customHeight="1">
      <c r="C753" s="12"/>
    </row>
    <row r="754" spans="1:3" ht="13.5" customHeight="1">
      <c r="A754" s="1">
        <f>A748+1</f>
        <v>50</v>
      </c>
      <c r="B754" s="21"/>
      <c r="C754" s="5" t="s">
        <v>231</v>
      </c>
    </row>
    <row r="755" spans="3:16" ht="13.5" customHeight="1">
      <c r="C755" s="4" t="s">
        <v>3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39">
        <v>0</v>
      </c>
      <c r="P755" s="26">
        <f>SUM(D755:O755)</f>
        <v>0</v>
      </c>
    </row>
    <row r="756" spans="3:16" ht="13.5" customHeight="1">
      <c r="C756" s="4" t="s">
        <v>4</v>
      </c>
      <c r="D756" s="47">
        <v>250</v>
      </c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55"/>
      <c r="P756" s="26">
        <f>SUM(D756:O756)</f>
        <v>250</v>
      </c>
    </row>
    <row r="757" spans="3:16" ht="13.5" customHeight="1" thickBot="1">
      <c r="C757" s="4" t="s">
        <v>5</v>
      </c>
      <c r="D757" s="26">
        <f aca="true" t="shared" si="97" ref="D757:M757">5416.67+23375</f>
        <v>28791.67</v>
      </c>
      <c r="E757" s="26">
        <f t="shared" si="97"/>
        <v>28791.67</v>
      </c>
      <c r="F757" s="26">
        <f t="shared" si="97"/>
        <v>28791.67</v>
      </c>
      <c r="G757" s="26">
        <f t="shared" si="97"/>
        <v>28791.67</v>
      </c>
      <c r="H757" s="26">
        <f t="shared" si="97"/>
        <v>28791.67</v>
      </c>
      <c r="I757" s="26">
        <f t="shared" si="97"/>
        <v>28791.67</v>
      </c>
      <c r="J757" s="26">
        <f t="shared" si="97"/>
        <v>28791.67</v>
      </c>
      <c r="K757" s="26">
        <f t="shared" si="97"/>
        <v>28791.67</v>
      </c>
      <c r="L757" s="26">
        <f t="shared" si="97"/>
        <v>28791.67</v>
      </c>
      <c r="M757" s="26">
        <f t="shared" si="97"/>
        <v>28791.67</v>
      </c>
      <c r="N757" s="26">
        <v>7524.86</v>
      </c>
      <c r="O757" s="55">
        <f>1666.67+6537.5</f>
        <v>8204.17</v>
      </c>
      <c r="P757" s="26">
        <f>SUM(D757:O757)</f>
        <v>303645.72999999986</v>
      </c>
    </row>
    <row r="758" spans="3:16" ht="13.5" customHeight="1" thickBot="1">
      <c r="C758" s="6" t="s">
        <v>232</v>
      </c>
      <c r="D758" s="27">
        <f aca="true" t="shared" si="98" ref="D758:P758">SUM(D755:D757)</f>
        <v>29041.67</v>
      </c>
      <c r="E758" s="27">
        <f t="shared" si="98"/>
        <v>28791.67</v>
      </c>
      <c r="F758" s="27">
        <f t="shared" si="98"/>
        <v>28791.67</v>
      </c>
      <c r="G758" s="27">
        <f t="shared" si="98"/>
        <v>28791.67</v>
      </c>
      <c r="H758" s="27">
        <f t="shared" si="98"/>
        <v>28791.67</v>
      </c>
      <c r="I758" s="27">
        <f t="shared" si="98"/>
        <v>28791.67</v>
      </c>
      <c r="J758" s="27">
        <f t="shared" si="98"/>
        <v>28791.67</v>
      </c>
      <c r="K758" s="27">
        <f t="shared" si="98"/>
        <v>28791.67</v>
      </c>
      <c r="L758" s="27">
        <f t="shared" si="98"/>
        <v>28791.67</v>
      </c>
      <c r="M758" s="27">
        <f t="shared" si="98"/>
        <v>28791.67</v>
      </c>
      <c r="N758" s="27">
        <f t="shared" si="98"/>
        <v>7524.86</v>
      </c>
      <c r="O758" s="40">
        <f t="shared" si="98"/>
        <v>8204.17</v>
      </c>
      <c r="P758" s="27">
        <f t="shared" si="98"/>
        <v>303895.72999999986</v>
      </c>
    </row>
    <row r="759" ht="13.5" customHeight="1">
      <c r="C759" s="12"/>
    </row>
    <row r="760" spans="1:3" ht="13.5" customHeight="1">
      <c r="A760" s="1">
        <f>A754+1</f>
        <v>51</v>
      </c>
      <c r="B760" s="21"/>
      <c r="C760" s="5" t="s">
        <v>233</v>
      </c>
    </row>
    <row r="761" spans="3:16" ht="13.5" customHeight="1">
      <c r="C761" s="4" t="s">
        <v>3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39">
        <v>0</v>
      </c>
      <c r="P761" s="26">
        <f>SUM(D761:O761)</f>
        <v>0</v>
      </c>
    </row>
    <row r="762" spans="3:16" ht="13.5" customHeight="1">
      <c r="C762" s="4" t="s">
        <v>4</v>
      </c>
      <c r="D762" s="47">
        <v>250</v>
      </c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55"/>
      <c r="P762" s="26">
        <f>SUM(D762:O762)</f>
        <v>250</v>
      </c>
    </row>
    <row r="763" spans="3:16" ht="13.5" customHeight="1" thickBot="1">
      <c r="C763" s="4" t="s">
        <v>5</v>
      </c>
      <c r="D763" s="26">
        <f aca="true" t="shared" si="99" ref="D763:J763">27916.67+86208.75</f>
        <v>114125.42</v>
      </c>
      <c r="E763" s="26">
        <f t="shared" si="99"/>
        <v>114125.42</v>
      </c>
      <c r="F763" s="26">
        <f t="shared" si="99"/>
        <v>114125.42</v>
      </c>
      <c r="G763" s="26">
        <f t="shared" si="99"/>
        <v>114125.42</v>
      </c>
      <c r="H763" s="26">
        <f t="shared" si="99"/>
        <v>114125.42</v>
      </c>
      <c r="I763" s="26">
        <f t="shared" si="99"/>
        <v>114125.42</v>
      </c>
      <c r="J763" s="26">
        <f t="shared" si="99"/>
        <v>114125.42</v>
      </c>
      <c r="K763" s="26">
        <f>27916.63+86208.75</f>
        <v>114125.38</v>
      </c>
      <c r="L763" s="47">
        <f>30833.33+84854.79</f>
        <v>115688.12</v>
      </c>
      <c r="M763" s="47">
        <f>30833.33+84854.79</f>
        <v>115688.12</v>
      </c>
      <c r="N763" s="47">
        <f>30833.33+84854.79</f>
        <v>115688.12</v>
      </c>
      <c r="O763" s="55">
        <f>30833.33+84854.79</f>
        <v>115688.12</v>
      </c>
      <c r="P763" s="26">
        <f>SUM(D763:O763)</f>
        <v>1375755.8000000003</v>
      </c>
    </row>
    <row r="764" spans="3:16" ht="13.5" customHeight="1" thickBot="1">
      <c r="C764" s="6" t="s">
        <v>183</v>
      </c>
      <c r="D764" s="27">
        <f aca="true" t="shared" si="100" ref="D764:P764">SUM(D761:D763)</f>
        <v>114375.42</v>
      </c>
      <c r="E764" s="27">
        <f t="shared" si="100"/>
        <v>114125.42</v>
      </c>
      <c r="F764" s="27">
        <f t="shared" si="100"/>
        <v>114125.42</v>
      </c>
      <c r="G764" s="27">
        <f t="shared" si="100"/>
        <v>114125.42</v>
      </c>
      <c r="H764" s="27">
        <f t="shared" si="100"/>
        <v>114125.42</v>
      </c>
      <c r="I764" s="27">
        <f t="shared" si="100"/>
        <v>114125.42</v>
      </c>
      <c r="J764" s="27">
        <f t="shared" si="100"/>
        <v>114125.42</v>
      </c>
      <c r="K764" s="27">
        <f t="shared" si="100"/>
        <v>114125.38</v>
      </c>
      <c r="L764" s="27">
        <f t="shared" si="100"/>
        <v>115688.12</v>
      </c>
      <c r="M764" s="27">
        <f t="shared" si="100"/>
        <v>115688.12</v>
      </c>
      <c r="N764" s="27">
        <f t="shared" si="100"/>
        <v>115688.12</v>
      </c>
      <c r="O764" s="40">
        <f t="shared" si="100"/>
        <v>115688.12</v>
      </c>
      <c r="P764" s="27">
        <f t="shared" si="100"/>
        <v>1376005.8000000003</v>
      </c>
    </row>
    <row r="765" ht="13.5" customHeight="1">
      <c r="C765" s="12"/>
    </row>
    <row r="766" spans="1:3" ht="13.5" customHeight="1">
      <c r="A766" s="1">
        <f>A760+1</f>
        <v>52</v>
      </c>
      <c r="B766" s="21"/>
      <c r="C766" s="5" t="s">
        <v>234</v>
      </c>
    </row>
    <row r="767" spans="3:16" ht="13.5" customHeight="1">
      <c r="C767" s="4" t="s">
        <v>3</v>
      </c>
      <c r="D767" s="26">
        <v>1568.33</v>
      </c>
      <c r="E767" s="26">
        <v>1568.33</v>
      </c>
      <c r="F767" s="26">
        <v>1568.33</v>
      </c>
      <c r="G767" s="26">
        <v>1568.33</v>
      </c>
      <c r="H767" s="26">
        <v>1568.33</v>
      </c>
      <c r="I767" s="26">
        <v>1568.33</v>
      </c>
      <c r="J767" s="26">
        <v>1568.33</v>
      </c>
      <c r="K767" s="26">
        <v>1568.33</v>
      </c>
      <c r="L767" s="47">
        <v>1540.83</v>
      </c>
      <c r="M767" s="47">
        <v>1540.83</v>
      </c>
      <c r="N767" s="47">
        <v>1540.83</v>
      </c>
      <c r="O767" s="55">
        <v>1540.83</v>
      </c>
      <c r="P767" s="26">
        <f>SUM(D767:O767)</f>
        <v>18709.96</v>
      </c>
    </row>
    <row r="768" spans="3:16" ht="13.5" customHeight="1">
      <c r="C768" s="4" t="s">
        <v>4</v>
      </c>
      <c r="D768" s="47">
        <v>250</v>
      </c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55"/>
      <c r="P768" s="26">
        <f>SUM(D768:O768)</f>
        <v>250</v>
      </c>
    </row>
    <row r="769" spans="3:16" ht="13.5" customHeight="1" thickBot="1">
      <c r="C769" s="4" t="s">
        <v>5</v>
      </c>
      <c r="D769" s="47">
        <f>28333.33+67375</f>
        <v>95708.33</v>
      </c>
      <c r="E769" s="47">
        <f aca="true" t="shared" si="101" ref="E769:N769">28333.33+67375</f>
        <v>95708.33</v>
      </c>
      <c r="F769" s="47">
        <f t="shared" si="101"/>
        <v>95708.33</v>
      </c>
      <c r="G769" s="47">
        <f t="shared" si="101"/>
        <v>95708.33</v>
      </c>
      <c r="H769" s="47">
        <f t="shared" si="101"/>
        <v>95708.33</v>
      </c>
      <c r="I769" s="47">
        <f t="shared" si="101"/>
        <v>95708.33</v>
      </c>
      <c r="J769" s="47">
        <f t="shared" si="101"/>
        <v>95708.33</v>
      </c>
      <c r="K769" s="47">
        <f t="shared" si="101"/>
        <v>95708.33</v>
      </c>
      <c r="L769" s="47">
        <f t="shared" si="101"/>
        <v>95708.33</v>
      </c>
      <c r="M769" s="47">
        <f t="shared" si="101"/>
        <v>95708.33</v>
      </c>
      <c r="N769" s="47">
        <f t="shared" si="101"/>
        <v>95708.33</v>
      </c>
      <c r="O769" s="55">
        <f>28333.37+67375</f>
        <v>95708.37</v>
      </c>
      <c r="P769" s="26">
        <f>SUM(D769:O769)</f>
        <v>1148500</v>
      </c>
    </row>
    <row r="770" spans="3:16" ht="13.5" customHeight="1" thickBot="1">
      <c r="C770" s="6" t="s">
        <v>235</v>
      </c>
      <c r="D770" s="27">
        <f aca="true" t="shared" si="102" ref="D770:P770">SUM(D767:D769)</f>
        <v>97526.66</v>
      </c>
      <c r="E770" s="27">
        <f t="shared" si="102"/>
        <v>97276.66</v>
      </c>
      <c r="F770" s="27">
        <f t="shared" si="102"/>
        <v>97276.66</v>
      </c>
      <c r="G770" s="27">
        <f t="shared" si="102"/>
        <v>97276.66</v>
      </c>
      <c r="H770" s="27">
        <f t="shared" si="102"/>
        <v>97276.66</v>
      </c>
      <c r="I770" s="27">
        <f t="shared" si="102"/>
        <v>97276.66</v>
      </c>
      <c r="J770" s="27">
        <f t="shared" si="102"/>
        <v>97276.66</v>
      </c>
      <c r="K770" s="27">
        <f t="shared" si="102"/>
        <v>97276.66</v>
      </c>
      <c r="L770" s="27">
        <f t="shared" si="102"/>
        <v>97249.16</v>
      </c>
      <c r="M770" s="27">
        <f t="shared" si="102"/>
        <v>97249.16</v>
      </c>
      <c r="N770" s="27">
        <f t="shared" si="102"/>
        <v>97249.16</v>
      </c>
      <c r="O770" s="40">
        <f t="shared" si="102"/>
        <v>97249.2</v>
      </c>
      <c r="P770" s="27">
        <f t="shared" si="102"/>
        <v>1167459.96</v>
      </c>
    </row>
    <row r="771" ht="13.5" customHeight="1">
      <c r="C771" s="12"/>
    </row>
    <row r="772" spans="1:3" ht="13.5" customHeight="1">
      <c r="A772" s="1">
        <f>A766+1</f>
        <v>53</v>
      </c>
      <c r="B772" s="21"/>
      <c r="C772" s="5" t="s">
        <v>236</v>
      </c>
    </row>
    <row r="773" spans="3:16" ht="13.5" customHeight="1">
      <c r="C773" s="4" t="s">
        <v>3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39">
        <v>0</v>
      </c>
      <c r="P773" s="26">
        <f>SUM(D773:O773)</f>
        <v>0</v>
      </c>
    </row>
    <row r="774" spans="3:16" ht="13.5" customHeight="1">
      <c r="C774" s="4" t="s">
        <v>4</v>
      </c>
      <c r="D774" s="47">
        <v>250</v>
      </c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55"/>
      <c r="P774" s="26">
        <f>SUM(D774:O774)</f>
        <v>250</v>
      </c>
    </row>
    <row r="775" spans="3:16" ht="13.5" customHeight="1" thickBot="1">
      <c r="C775" s="4" t="s">
        <v>5</v>
      </c>
      <c r="D775" s="26">
        <v>50618.38</v>
      </c>
      <c r="E775" s="26">
        <v>50618.38</v>
      </c>
      <c r="F775" s="26">
        <v>50618.38</v>
      </c>
      <c r="G775" s="26">
        <v>50618.38</v>
      </c>
      <c r="H775" s="26">
        <v>50618.38</v>
      </c>
      <c r="I775" s="26">
        <v>50618.38</v>
      </c>
      <c r="J775" s="26">
        <v>50618.38</v>
      </c>
      <c r="K775" s="26">
        <v>50618.38</v>
      </c>
      <c r="L775" s="26">
        <v>50618.38</v>
      </c>
      <c r="M775" s="26">
        <v>50618.38</v>
      </c>
      <c r="N775" s="26">
        <v>50618.36</v>
      </c>
      <c r="O775" s="39">
        <v>50618.36</v>
      </c>
      <c r="P775" s="26">
        <f>SUM(D775:O775)</f>
        <v>607420.52</v>
      </c>
    </row>
    <row r="776" spans="3:16" ht="13.5" customHeight="1" thickBot="1">
      <c r="C776" s="6" t="s">
        <v>163</v>
      </c>
      <c r="D776" s="27">
        <f aca="true" t="shared" si="103" ref="D776:P776">SUM(D773:D775)</f>
        <v>50868.38</v>
      </c>
      <c r="E776" s="27">
        <f t="shared" si="103"/>
        <v>50618.38</v>
      </c>
      <c r="F776" s="27">
        <f t="shared" si="103"/>
        <v>50618.38</v>
      </c>
      <c r="G776" s="27">
        <f t="shared" si="103"/>
        <v>50618.38</v>
      </c>
      <c r="H776" s="27">
        <f t="shared" si="103"/>
        <v>50618.38</v>
      </c>
      <c r="I776" s="27">
        <f t="shared" si="103"/>
        <v>50618.38</v>
      </c>
      <c r="J776" s="27">
        <f t="shared" si="103"/>
        <v>50618.38</v>
      </c>
      <c r="K776" s="27">
        <f t="shared" si="103"/>
        <v>50618.38</v>
      </c>
      <c r="L776" s="27">
        <f t="shared" si="103"/>
        <v>50618.38</v>
      </c>
      <c r="M776" s="27">
        <f t="shared" si="103"/>
        <v>50618.38</v>
      </c>
      <c r="N776" s="27">
        <f t="shared" si="103"/>
        <v>50618.36</v>
      </c>
      <c r="O776" s="40">
        <f t="shared" si="103"/>
        <v>50618.36</v>
      </c>
      <c r="P776" s="27">
        <f t="shared" si="103"/>
        <v>607670.52</v>
      </c>
    </row>
    <row r="777" ht="13.5" customHeight="1">
      <c r="C777" s="12"/>
    </row>
    <row r="778" spans="1:3" ht="13.5" customHeight="1">
      <c r="A778" s="1">
        <f>A772+1</f>
        <v>54</v>
      </c>
      <c r="B778" s="21"/>
      <c r="C778" s="5" t="s">
        <v>237</v>
      </c>
    </row>
    <row r="779" spans="3:16" ht="13.5" customHeight="1">
      <c r="C779" s="4" t="s">
        <v>3</v>
      </c>
      <c r="D779" s="26">
        <v>2056.67</v>
      </c>
      <c r="E779" s="26">
        <v>2056.67</v>
      </c>
      <c r="F779" s="26">
        <v>2056.67</v>
      </c>
      <c r="G779" s="26">
        <v>2056.67</v>
      </c>
      <c r="H779" s="26">
        <v>2056.67</v>
      </c>
      <c r="I779" s="26">
        <v>2056.67</v>
      </c>
      <c r="J779" s="26">
        <v>2056.67</v>
      </c>
      <c r="K779" s="26">
        <v>2056.67</v>
      </c>
      <c r="L779" s="26">
        <v>2056.67</v>
      </c>
      <c r="M779" s="26">
        <v>2056.67</v>
      </c>
      <c r="N779" s="47">
        <v>2018.75</v>
      </c>
      <c r="O779" s="55">
        <v>2018.75</v>
      </c>
      <c r="P779" s="26">
        <f>SUM(D779:O779)</f>
        <v>24604.199999999997</v>
      </c>
    </row>
    <row r="780" spans="3:16" ht="13.5" customHeight="1">
      <c r="C780" s="4" t="s">
        <v>4</v>
      </c>
      <c r="D780" s="47">
        <v>250</v>
      </c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55"/>
      <c r="P780" s="26">
        <f>SUM(D780:O780)</f>
        <v>250</v>
      </c>
    </row>
    <row r="781" spans="3:16" ht="13.5" customHeight="1" thickBot="1">
      <c r="C781" s="4" t="s">
        <v>5</v>
      </c>
      <c r="D781" s="26">
        <f aca="true" t="shared" si="104" ref="D781:M781">37916.67+80825</f>
        <v>118741.67</v>
      </c>
      <c r="E781" s="26">
        <f t="shared" si="104"/>
        <v>118741.67</v>
      </c>
      <c r="F781" s="26">
        <f t="shared" si="104"/>
        <v>118741.67</v>
      </c>
      <c r="G781" s="26">
        <f t="shared" si="104"/>
        <v>118741.67</v>
      </c>
      <c r="H781" s="26">
        <f t="shared" si="104"/>
        <v>118741.67</v>
      </c>
      <c r="I781" s="26">
        <f t="shared" si="104"/>
        <v>118741.67</v>
      </c>
      <c r="J781" s="26">
        <f t="shared" si="104"/>
        <v>118741.67</v>
      </c>
      <c r="K781" s="26">
        <f t="shared" si="104"/>
        <v>118741.67</v>
      </c>
      <c r="L781" s="26">
        <f t="shared" si="104"/>
        <v>118741.67</v>
      </c>
      <c r="M781" s="26">
        <f t="shared" si="104"/>
        <v>118741.67</v>
      </c>
      <c r="N781" s="26">
        <f>37916.63+80825</f>
        <v>118741.63</v>
      </c>
      <c r="O781" s="55">
        <f>39166.67+79308.33</f>
        <v>118475</v>
      </c>
      <c r="P781" s="26">
        <f>SUM(D781:O781)</f>
        <v>1424633.33</v>
      </c>
    </row>
    <row r="782" spans="3:16" ht="13.5" customHeight="1" thickBot="1">
      <c r="C782" s="6" t="s">
        <v>238</v>
      </c>
      <c r="D782" s="27">
        <f aca="true" t="shared" si="105" ref="D782:P782">SUM(D779:D781)</f>
        <v>121048.34</v>
      </c>
      <c r="E782" s="27">
        <f t="shared" si="105"/>
        <v>120798.34</v>
      </c>
      <c r="F782" s="27">
        <f t="shared" si="105"/>
        <v>120798.34</v>
      </c>
      <c r="G782" s="27">
        <f t="shared" si="105"/>
        <v>120798.34</v>
      </c>
      <c r="H782" s="27">
        <f t="shared" si="105"/>
        <v>120798.34</v>
      </c>
      <c r="I782" s="27">
        <f t="shared" si="105"/>
        <v>120798.34</v>
      </c>
      <c r="J782" s="27">
        <f t="shared" si="105"/>
        <v>120798.34</v>
      </c>
      <c r="K782" s="27">
        <f t="shared" si="105"/>
        <v>120798.34</v>
      </c>
      <c r="L782" s="27">
        <f t="shared" si="105"/>
        <v>120798.34</v>
      </c>
      <c r="M782" s="27">
        <f t="shared" si="105"/>
        <v>120798.34</v>
      </c>
      <c r="N782" s="27">
        <f t="shared" si="105"/>
        <v>120760.38</v>
      </c>
      <c r="O782" s="40">
        <f t="shared" si="105"/>
        <v>120493.75</v>
      </c>
      <c r="P782" s="27">
        <f t="shared" si="105"/>
        <v>1449487.53</v>
      </c>
    </row>
    <row r="783" ht="13.5" customHeight="1">
      <c r="C783" s="12"/>
    </row>
    <row r="784" spans="1:3" ht="13.5" customHeight="1">
      <c r="A784" s="1">
        <f>A778+1</f>
        <v>55</v>
      </c>
      <c r="B784" s="21"/>
      <c r="C784" s="5" t="s">
        <v>239</v>
      </c>
    </row>
    <row r="785" spans="3:16" ht="13.5" customHeight="1">
      <c r="C785" s="4" t="s">
        <v>3</v>
      </c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39">
        <v>0</v>
      </c>
      <c r="P785" s="26">
        <f>SUM(D785:O785)</f>
        <v>0</v>
      </c>
    </row>
    <row r="786" spans="3:16" ht="13.5" customHeight="1">
      <c r="C786" s="4" t="s">
        <v>4</v>
      </c>
      <c r="D786" s="47">
        <v>250</v>
      </c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55"/>
      <c r="P786" s="26">
        <f>SUM(D786:O786)</f>
        <v>250</v>
      </c>
    </row>
    <row r="787" spans="3:16" ht="13.5" customHeight="1" thickBot="1">
      <c r="C787" s="4" t="s">
        <v>5</v>
      </c>
      <c r="D787" s="26">
        <f>8333.33+10606.33</f>
        <v>18939.66</v>
      </c>
      <c r="E787" s="26">
        <f>8333.33+10606.33</f>
        <v>18939.66</v>
      </c>
      <c r="F787" s="26">
        <f>8333.33+10606.33</f>
        <v>18939.66</v>
      </c>
      <c r="G787" s="26">
        <f>8333.33+10606.33</f>
        <v>18939.66</v>
      </c>
      <c r="H787" s="47">
        <f>8750+10234.83</f>
        <v>18984.83</v>
      </c>
      <c r="I787" s="47">
        <f aca="true" t="shared" si="106" ref="I787:P787">8750+10234.83</f>
        <v>18984.83</v>
      </c>
      <c r="J787" s="47">
        <f t="shared" si="106"/>
        <v>18984.83</v>
      </c>
      <c r="K787" s="47">
        <f t="shared" si="106"/>
        <v>18984.83</v>
      </c>
      <c r="L787" s="47">
        <f t="shared" si="106"/>
        <v>18984.83</v>
      </c>
      <c r="M787" s="47">
        <f t="shared" si="106"/>
        <v>18984.83</v>
      </c>
      <c r="N787" s="47">
        <f t="shared" si="106"/>
        <v>18984.83</v>
      </c>
      <c r="O787" s="55">
        <f t="shared" si="106"/>
        <v>18984.83</v>
      </c>
      <c r="P787" s="26">
        <f>SUM(D787:O787)</f>
        <v>227637.2800000001</v>
      </c>
    </row>
    <row r="788" spans="3:16" ht="13.5" customHeight="1" thickBot="1">
      <c r="C788" s="6" t="s">
        <v>159</v>
      </c>
      <c r="D788" s="27">
        <f aca="true" t="shared" si="107" ref="D788:P788">SUM(D785:D787)</f>
        <v>19189.66</v>
      </c>
      <c r="E788" s="27">
        <f t="shared" si="107"/>
        <v>18939.66</v>
      </c>
      <c r="F788" s="27">
        <f t="shared" si="107"/>
        <v>18939.66</v>
      </c>
      <c r="G788" s="27">
        <f t="shared" si="107"/>
        <v>18939.66</v>
      </c>
      <c r="H788" s="27">
        <f t="shared" si="107"/>
        <v>18984.83</v>
      </c>
      <c r="I788" s="27">
        <f t="shared" si="107"/>
        <v>18984.83</v>
      </c>
      <c r="J788" s="27">
        <f t="shared" si="107"/>
        <v>18984.83</v>
      </c>
      <c r="K788" s="27">
        <f t="shared" si="107"/>
        <v>18984.83</v>
      </c>
      <c r="L788" s="27">
        <f t="shared" si="107"/>
        <v>18984.83</v>
      </c>
      <c r="M788" s="27">
        <f t="shared" si="107"/>
        <v>18984.83</v>
      </c>
      <c r="N788" s="27">
        <f t="shared" si="107"/>
        <v>18984.83</v>
      </c>
      <c r="O788" s="40">
        <f t="shared" si="107"/>
        <v>18984.83</v>
      </c>
      <c r="P788" s="27">
        <f t="shared" si="107"/>
        <v>227887.2800000001</v>
      </c>
    </row>
    <row r="789" ht="13.5" customHeight="1">
      <c r="C789" s="12"/>
    </row>
    <row r="790" spans="1:16" ht="13.5" customHeight="1">
      <c r="A790" s="1">
        <f>A784+1</f>
        <v>56</v>
      </c>
      <c r="B790" s="21"/>
      <c r="C790" s="5" t="s">
        <v>240</v>
      </c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55"/>
      <c r="P790" s="46"/>
    </row>
    <row r="791" spans="3:16" ht="13.5" customHeight="1">
      <c r="C791" s="4" t="s">
        <v>3</v>
      </c>
      <c r="D791" s="47">
        <v>490.83</v>
      </c>
      <c r="E791" s="47">
        <v>490.83</v>
      </c>
      <c r="F791" s="47">
        <v>490.83</v>
      </c>
      <c r="G791" s="47">
        <v>490.83</v>
      </c>
      <c r="H791" s="47">
        <v>490.83</v>
      </c>
      <c r="I791" s="47">
        <v>490.83</v>
      </c>
      <c r="J791" s="47">
        <v>490.83</v>
      </c>
      <c r="K791" s="47">
        <v>490.83</v>
      </c>
      <c r="L791" s="47">
        <v>490.83</v>
      </c>
      <c r="M791" s="47">
        <v>490.83</v>
      </c>
      <c r="N791" s="47">
        <v>472.92</v>
      </c>
      <c r="O791" s="55">
        <v>472.92</v>
      </c>
      <c r="P791" s="49">
        <f>SUM(D791:O791)</f>
        <v>5854.14</v>
      </c>
    </row>
    <row r="792" spans="3:16" ht="13.5" customHeight="1">
      <c r="C792" s="4" t="s">
        <v>4</v>
      </c>
      <c r="D792" s="47">
        <v>250</v>
      </c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55"/>
      <c r="P792" s="49">
        <f>SUM(D792:O792)</f>
        <v>250</v>
      </c>
    </row>
    <row r="793" spans="3:16" ht="13.5" customHeight="1" thickBot="1">
      <c r="C793" s="4" t="s">
        <v>5</v>
      </c>
      <c r="D793" s="47">
        <f>17916.67+19308.33</f>
        <v>37225</v>
      </c>
      <c r="E793" s="47">
        <f>17916.67+19308.33</f>
        <v>37225</v>
      </c>
      <c r="F793" s="47">
        <f>17916.67+19308.33</f>
        <v>37225</v>
      </c>
      <c r="G793" s="47">
        <f>17916.67+19308.33</f>
        <v>37225</v>
      </c>
      <c r="H793" s="47">
        <f>17916.63+19308.35</f>
        <v>37224.979999999996</v>
      </c>
      <c r="I793" s="47">
        <f>18333.33+18770.83</f>
        <v>37104.16</v>
      </c>
      <c r="J793" s="47">
        <f aca="true" t="shared" si="108" ref="J793:P793">18333.33+18770.83</f>
        <v>37104.16</v>
      </c>
      <c r="K793" s="47">
        <f t="shared" si="108"/>
        <v>37104.16</v>
      </c>
      <c r="L793" s="47">
        <f t="shared" si="108"/>
        <v>37104.16</v>
      </c>
      <c r="M793" s="47">
        <f t="shared" si="108"/>
        <v>37104.16</v>
      </c>
      <c r="N793" s="47">
        <f>18333.33+18770.85</f>
        <v>37104.18</v>
      </c>
      <c r="O793" s="55">
        <f t="shared" si="108"/>
        <v>37104.16</v>
      </c>
      <c r="P793" s="49">
        <f>SUM(D793:O793)</f>
        <v>445854.12</v>
      </c>
    </row>
    <row r="794" spans="3:16" ht="13.5" customHeight="1" thickBot="1">
      <c r="C794" s="6" t="s">
        <v>58</v>
      </c>
      <c r="D794" s="50">
        <f aca="true" t="shared" si="109" ref="D794:P794">SUM(D791:D793)</f>
        <v>37965.83</v>
      </c>
      <c r="E794" s="50">
        <f t="shared" si="109"/>
        <v>37715.83</v>
      </c>
      <c r="F794" s="50">
        <f t="shared" si="109"/>
        <v>37715.83</v>
      </c>
      <c r="G794" s="50">
        <f t="shared" si="109"/>
        <v>37715.83</v>
      </c>
      <c r="H794" s="50">
        <f t="shared" si="109"/>
        <v>37715.81</v>
      </c>
      <c r="I794" s="50">
        <f t="shared" si="109"/>
        <v>37594.990000000005</v>
      </c>
      <c r="J794" s="50">
        <f t="shared" si="109"/>
        <v>37594.990000000005</v>
      </c>
      <c r="K794" s="50">
        <f t="shared" si="109"/>
        <v>37594.990000000005</v>
      </c>
      <c r="L794" s="50">
        <f t="shared" si="109"/>
        <v>37594.990000000005</v>
      </c>
      <c r="M794" s="50">
        <f t="shared" si="109"/>
        <v>37594.990000000005</v>
      </c>
      <c r="N794" s="50">
        <f t="shared" si="109"/>
        <v>37577.1</v>
      </c>
      <c r="O794" s="52">
        <f t="shared" si="109"/>
        <v>37577.08</v>
      </c>
      <c r="P794" s="50">
        <f t="shared" si="109"/>
        <v>451958.26</v>
      </c>
    </row>
    <row r="795" ht="13.5" customHeight="1">
      <c r="C795" s="12"/>
    </row>
    <row r="796" spans="2:3" ht="13.5" customHeight="1">
      <c r="B796" s="42" t="s">
        <v>105</v>
      </c>
      <c r="C796" s="30" t="s">
        <v>241</v>
      </c>
    </row>
    <row r="797" spans="3:16" ht="13.5" customHeight="1">
      <c r="C797" s="4" t="s">
        <v>3</v>
      </c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/>
      <c r="O797" s="39"/>
      <c r="P797" s="26">
        <f>SUM(D797:O797)</f>
        <v>0</v>
      </c>
    </row>
    <row r="798" spans="3:16" ht="13.5" customHeight="1">
      <c r="C798" s="4" t="s">
        <v>4</v>
      </c>
      <c r="D798" s="47">
        <v>250</v>
      </c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55"/>
      <c r="P798" s="26">
        <f>SUM(D798:O798)</f>
        <v>250</v>
      </c>
    </row>
    <row r="799" spans="3:16" ht="13.5" customHeight="1" thickBot="1">
      <c r="C799" s="4" t="s">
        <v>5</v>
      </c>
      <c r="D799" s="47">
        <f>115482+69289+46192.54</f>
        <v>230963.54</v>
      </c>
      <c r="E799" s="47">
        <f aca="true" t="shared" si="110" ref="E799:M799">115482+69289+46192.54</f>
        <v>230963.54</v>
      </c>
      <c r="F799" s="47">
        <f t="shared" si="110"/>
        <v>230963.54</v>
      </c>
      <c r="G799" s="47">
        <f t="shared" si="110"/>
        <v>230963.54</v>
      </c>
      <c r="H799" s="47">
        <f t="shared" si="110"/>
        <v>230963.54</v>
      </c>
      <c r="I799" s="47">
        <f>115482+69289+46192.55</f>
        <v>230963.55</v>
      </c>
      <c r="J799" s="47">
        <f t="shared" si="110"/>
        <v>230963.54</v>
      </c>
      <c r="K799" s="47">
        <f t="shared" si="110"/>
        <v>230963.54</v>
      </c>
      <c r="L799" s="47">
        <f t="shared" si="110"/>
        <v>230963.54</v>
      </c>
      <c r="M799" s="47">
        <f t="shared" si="110"/>
        <v>230963.54</v>
      </c>
      <c r="N799" s="47"/>
      <c r="O799" s="55"/>
      <c r="P799" s="26">
        <f>SUM(D799:O799)</f>
        <v>2309635.41</v>
      </c>
    </row>
    <row r="800" spans="3:16" ht="13.5" customHeight="1" thickBot="1">
      <c r="C800" s="6" t="s">
        <v>242</v>
      </c>
      <c r="D800" s="27">
        <f aca="true" t="shared" si="111" ref="D800:P800">SUM(D797:D799)</f>
        <v>231213.54</v>
      </c>
      <c r="E800" s="27">
        <f t="shared" si="111"/>
        <v>230963.54</v>
      </c>
      <c r="F800" s="27">
        <f t="shared" si="111"/>
        <v>230963.54</v>
      </c>
      <c r="G800" s="27">
        <f t="shared" si="111"/>
        <v>230963.54</v>
      </c>
      <c r="H800" s="27">
        <f t="shared" si="111"/>
        <v>230963.54</v>
      </c>
      <c r="I800" s="27">
        <f t="shared" si="111"/>
        <v>230963.55</v>
      </c>
      <c r="J800" s="27">
        <f t="shared" si="111"/>
        <v>230963.54</v>
      </c>
      <c r="K800" s="27">
        <f t="shared" si="111"/>
        <v>230963.54</v>
      </c>
      <c r="L800" s="27">
        <f t="shared" si="111"/>
        <v>230963.54</v>
      </c>
      <c r="M800" s="27">
        <f t="shared" si="111"/>
        <v>230963.54</v>
      </c>
      <c r="N800" s="27">
        <f t="shared" si="111"/>
        <v>0</v>
      </c>
      <c r="O800" s="40">
        <f t="shared" si="111"/>
        <v>0</v>
      </c>
      <c r="P800" s="27">
        <f t="shared" si="111"/>
        <v>2309885.41</v>
      </c>
    </row>
    <row r="801" ht="13.5" customHeight="1">
      <c r="C801" s="12"/>
    </row>
    <row r="802" spans="1:3" ht="13.5" customHeight="1">
      <c r="A802" s="1">
        <f>A790+1</f>
        <v>57</v>
      </c>
      <c r="B802" s="21"/>
      <c r="C802" s="5" t="s">
        <v>243</v>
      </c>
    </row>
    <row r="803" spans="3:16" ht="13.5" customHeight="1">
      <c r="C803" s="4" t="s">
        <v>3</v>
      </c>
      <c r="D803" s="26">
        <v>1089.17</v>
      </c>
      <c r="E803" s="26">
        <v>1089.17</v>
      </c>
      <c r="F803" s="26">
        <v>1089.17</v>
      </c>
      <c r="G803" s="26">
        <v>1089.17</v>
      </c>
      <c r="H803" s="26">
        <v>1089.17</v>
      </c>
      <c r="I803" s="26">
        <v>1089.17</v>
      </c>
      <c r="J803" s="26">
        <v>1089.17</v>
      </c>
      <c r="K803" s="26">
        <v>1089.17</v>
      </c>
      <c r="L803" s="26">
        <v>1089.17</v>
      </c>
      <c r="M803" s="26">
        <v>1089.17</v>
      </c>
      <c r="N803" s="26">
        <v>1089.17</v>
      </c>
      <c r="O803" s="39">
        <v>1069.17</v>
      </c>
      <c r="P803" s="26">
        <f>SUM(D803:O803)</f>
        <v>13050.04</v>
      </c>
    </row>
    <row r="804" spans="3:16" ht="13.5" customHeight="1">
      <c r="C804" s="4" t="s">
        <v>4</v>
      </c>
      <c r="D804" s="47">
        <v>250</v>
      </c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55"/>
      <c r="P804" s="26">
        <f>SUM(D804:O804)</f>
        <v>250</v>
      </c>
    </row>
    <row r="805" spans="3:16" ht="13.5" customHeight="1" thickBot="1">
      <c r="C805" s="4" t="s">
        <v>5</v>
      </c>
      <c r="D805" s="47">
        <f>20000+44648.95</f>
        <v>64648.95</v>
      </c>
      <c r="E805" s="47">
        <f>20833.33+44048.96</f>
        <v>64882.29</v>
      </c>
      <c r="F805" s="47">
        <f aca="true" t="shared" si="112" ref="F805:O805">20833.33+44048.96</f>
        <v>64882.29</v>
      </c>
      <c r="G805" s="47">
        <f t="shared" si="112"/>
        <v>64882.29</v>
      </c>
      <c r="H805" s="47">
        <f t="shared" si="112"/>
        <v>64882.29</v>
      </c>
      <c r="I805" s="47">
        <f t="shared" si="112"/>
        <v>64882.29</v>
      </c>
      <c r="J805" s="47">
        <f>20833.33+44048.95</f>
        <v>64882.28</v>
      </c>
      <c r="K805" s="47">
        <f t="shared" si="112"/>
        <v>64882.29</v>
      </c>
      <c r="L805" s="47">
        <f t="shared" si="112"/>
        <v>64882.29</v>
      </c>
      <c r="M805" s="47">
        <f t="shared" si="112"/>
        <v>64882.29</v>
      </c>
      <c r="N805" s="47">
        <f t="shared" si="112"/>
        <v>64882.29</v>
      </c>
      <c r="O805" s="55">
        <f t="shared" si="112"/>
        <v>64882.29</v>
      </c>
      <c r="P805" s="26">
        <f>SUM(D805:O805)</f>
        <v>778354.13</v>
      </c>
    </row>
    <row r="806" spans="3:16" ht="13.5" customHeight="1" thickBot="1">
      <c r="C806" s="6" t="s">
        <v>244</v>
      </c>
      <c r="D806" s="27">
        <f aca="true" t="shared" si="113" ref="D806:P806">SUM(D803:D805)</f>
        <v>65988.12</v>
      </c>
      <c r="E806" s="27">
        <f t="shared" si="113"/>
        <v>65971.46</v>
      </c>
      <c r="F806" s="27">
        <f t="shared" si="113"/>
        <v>65971.46</v>
      </c>
      <c r="G806" s="27">
        <f t="shared" si="113"/>
        <v>65971.46</v>
      </c>
      <c r="H806" s="27">
        <f t="shared" si="113"/>
        <v>65971.46</v>
      </c>
      <c r="I806" s="27">
        <f t="shared" si="113"/>
        <v>65971.46</v>
      </c>
      <c r="J806" s="27">
        <f t="shared" si="113"/>
        <v>65971.45</v>
      </c>
      <c r="K806" s="27">
        <f t="shared" si="113"/>
        <v>65971.46</v>
      </c>
      <c r="L806" s="27">
        <f t="shared" si="113"/>
        <v>65971.46</v>
      </c>
      <c r="M806" s="27">
        <f t="shared" si="113"/>
        <v>65971.46</v>
      </c>
      <c r="N806" s="27">
        <f t="shared" si="113"/>
        <v>65971.46</v>
      </c>
      <c r="O806" s="40">
        <f t="shared" si="113"/>
        <v>65951.46</v>
      </c>
      <c r="P806" s="27">
        <f t="shared" si="113"/>
        <v>791654.17</v>
      </c>
    </row>
    <row r="807" ht="13.5" customHeight="1">
      <c r="C807" s="12"/>
    </row>
    <row r="808" spans="2:3" ht="13.5" customHeight="1">
      <c r="B808" s="42" t="s">
        <v>105</v>
      </c>
      <c r="C808" s="30" t="s">
        <v>245</v>
      </c>
    </row>
    <row r="809" spans="3:16" ht="13.5" customHeight="1">
      <c r="C809" s="4" t="s">
        <v>3</v>
      </c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/>
      <c r="N809" s="26"/>
      <c r="O809" s="39"/>
      <c r="P809" s="26">
        <f>SUM(D809:O809)</f>
        <v>0</v>
      </c>
    </row>
    <row r="810" spans="3:16" ht="13.5" customHeight="1">
      <c r="C810" s="4" t="s">
        <v>4</v>
      </c>
      <c r="D810" s="47">
        <v>250</v>
      </c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55"/>
      <c r="P810" s="26">
        <f>SUM(D810:O810)</f>
        <v>250</v>
      </c>
    </row>
    <row r="811" spans="3:16" ht="13.5" customHeight="1" thickBot="1">
      <c r="C811" s="4" t="s">
        <v>5</v>
      </c>
      <c r="D811" s="47">
        <f>17617+16710.29</f>
        <v>34327.29</v>
      </c>
      <c r="E811" s="47">
        <f>17676+16651.57</f>
        <v>34327.57</v>
      </c>
      <c r="F811" s="47">
        <f>17735+16592.65</f>
        <v>34327.65</v>
      </c>
      <c r="G811" s="47">
        <f>17794+16533.53</f>
        <v>34327.53</v>
      </c>
      <c r="H811" s="47">
        <f>17854+16474.22</f>
        <v>34328.22</v>
      </c>
      <c r="I811" s="47">
        <f>17913+16414.71</f>
        <v>34327.71</v>
      </c>
      <c r="J811" s="47">
        <f>17973+16355</f>
        <v>34328</v>
      </c>
      <c r="K811" s="47">
        <f>18033+16295.09</f>
        <v>34328.09</v>
      </c>
      <c r="L811" s="47">
        <f>18093+16234.98</f>
        <v>34327.979999999996</v>
      </c>
      <c r="M811" s="47"/>
      <c r="N811" s="47"/>
      <c r="O811" s="55"/>
      <c r="P811" s="26">
        <f>SUM(D811:O811)</f>
        <v>308950.04</v>
      </c>
    </row>
    <row r="812" spans="3:16" ht="13.5" customHeight="1" thickBot="1">
      <c r="C812" s="6" t="s">
        <v>246</v>
      </c>
      <c r="D812" s="27">
        <f aca="true" t="shared" si="114" ref="D812:P812">SUM(D809:D811)</f>
        <v>34577.29</v>
      </c>
      <c r="E812" s="27">
        <f t="shared" si="114"/>
        <v>34327.57</v>
      </c>
      <c r="F812" s="27">
        <f t="shared" si="114"/>
        <v>34327.65</v>
      </c>
      <c r="G812" s="27">
        <f t="shared" si="114"/>
        <v>34327.53</v>
      </c>
      <c r="H812" s="27">
        <f t="shared" si="114"/>
        <v>34328.22</v>
      </c>
      <c r="I812" s="27">
        <f t="shared" si="114"/>
        <v>34327.71</v>
      </c>
      <c r="J812" s="27">
        <f t="shared" si="114"/>
        <v>34328</v>
      </c>
      <c r="K812" s="27">
        <f t="shared" si="114"/>
        <v>34328.09</v>
      </c>
      <c r="L812" s="27">
        <f t="shared" si="114"/>
        <v>34327.979999999996</v>
      </c>
      <c r="M812" s="27">
        <f t="shared" si="114"/>
        <v>0</v>
      </c>
      <c r="N812" s="27">
        <f t="shared" si="114"/>
        <v>0</v>
      </c>
      <c r="O812" s="40">
        <f t="shared" si="114"/>
        <v>0</v>
      </c>
      <c r="P812" s="27">
        <f t="shared" si="114"/>
        <v>309200.04</v>
      </c>
    </row>
    <row r="813" ht="13.5" customHeight="1">
      <c r="C813" s="12"/>
    </row>
    <row r="814" spans="1:3" ht="13.5" customHeight="1">
      <c r="A814" s="1">
        <f>A802+1</f>
        <v>58</v>
      </c>
      <c r="B814" s="21"/>
      <c r="C814" s="5" t="s">
        <v>247</v>
      </c>
    </row>
    <row r="815" spans="3:16" ht="13.5" customHeight="1">
      <c r="C815" s="4" t="s">
        <v>3</v>
      </c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39">
        <v>0</v>
      </c>
      <c r="P815" s="26">
        <f>SUM(D815:O815)</f>
        <v>0</v>
      </c>
    </row>
    <row r="816" spans="3:16" ht="13.5" customHeight="1">
      <c r="C816" s="4" t="s">
        <v>4</v>
      </c>
      <c r="D816" s="47">
        <v>250</v>
      </c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55"/>
      <c r="P816" s="26">
        <f>SUM(D816:O816)</f>
        <v>250</v>
      </c>
    </row>
    <row r="817" spans="3:16" ht="13.5" customHeight="1" thickBot="1">
      <c r="C817" s="4" t="s">
        <v>5</v>
      </c>
      <c r="D817" s="47">
        <f>15693.83+27786.16</f>
        <v>43479.99</v>
      </c>
      <c r="E817" s="47">
        <f>15741.13+27738.86</f>
        <v>43479.99</v>
      </c>
      <c r="F817" s="47">
        <f>16681.84+26798.15</f>
        <v>43479.990000000005</v>
      </c>
      <c r="G817" s="47">
        <f>15838.85+27641.14</f>
        <v>43479.99</v>
      </c>
      <c r="H817" s="47">
        <f>16776.7+26703.29</f>
        <v>43479.990000000005</v>
      </c>
      <c r="I817" s="47">
        <f>15937.15+27542.84</f>
        <v>43479.99</v>
      </c>
      <c r="J817" s="47">
        <f>15985.18+27494.81</f>
        <v>43479.990000000005</v>
      </c>
      <c r="K817" s="47">
        <f>18689.48+24790.51</f>
        <v>43479.99</v>
      </c>
      <c r="L817" s="47">
        <f>16089.69+27390.3</f>
        <v>43479.99</v>
      </c>
      <c r="M817" s="47">
        <f>17020.17+26459.82</f>
        <v>43479.99</v>
      </c>
      <c r="N817" s="47">
        <f>16189.48+27290.51</f>
        <v>43479.99</v>
      </c>
      <c r="O817" s="55">
        <f>17117.03+26362.96</f>
        <v>43479.99</v>
      </c>
      <c r="P817" s="26">
        <f>SUM(D817:O817)</f>
        <v>521759.87999999995</v>
      </c>
    </row>
    <row r="818" spans="3:16" ht="13.5" customHeight="1" thickBot="1">
      <c r="C818" s="6" t="s">
        <v>138</v>
      </c>
      <c r="D818" s="27">
        <f aca="true" t="shared" si="115" ref="D818:P818">SUM(D815:D817)</f>
        <v>43729.99</v>
      </c>
      <c r="E818" s="27">
        <f t="shared" si="115"/>
        <v>43479.99</v>
      </c>
      <c r="F818" s="27">
        <f t="shared" si="115"/>
        <v>43479.990000000005</v>
      </c>
      <c r="G818" s="27">
        <f t="shared" si="115"/>
        <v>43479.99</v>
      </c>
      <c r="H818" s="27">
        <f t="shared" si="115"/>
        <v>43479.990000000005</v>
      </c>
      <c r="I818" s="27">
        <f t="shared" si="115"/>
        <v>43479.99</v>
      </c>
      <c r="J818" s="27">
        <f t="shared" si="115"/>
        <v>43479.990000000005</v>
      </c>
      <c r="K818" s="27">
        <f t="shared" si="115"/>
        <v>43479.99</v>
      </c>
      <c r="L818" s="27">
        <f t="shared" si="115"/>
        <v>43479.99</v>
      </c>
      <c r="M818" s="27">
        <f t="shared" si="115"/>
        <v>43479.99</v>
      </c>
      <c r="N818" s="27">
        <f t="shared" si="115"/>
        <v>43479.99</v>
      </c>
      <c r="O818" s="40">
        <f t="shared" si="115"/>
        <v>43479.99</v>
      </c>
      <c r="P818" s="27">
        <f t="shared" si="115"/>
        <v>522009.87999999995</v>
      </c>
    </row>
    <row r="819" ht="13.5" customHeight="1">
      <c r="C819" s="12"/>
    </row>
    <row r="820" spans="1:3" ht="13.5" customHeight="1">
      <c r="A820" s="1">
        <f>A814+1</f>
        <v>59</v>
      </c>
      <c r="B820" s="21"/>
      <c r="C820" s="5" t="s">
        <v>248</v>
      </c>
    </row>
    <row r="821" spans="3:16" ht="13.5" customHeight="1">
      <c r="C821" s="4" t="s">
        <v>3</v>
      </c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39">
        <v>0</v>
      </c>
      <c r="P821" s="26">
        <f>SUM(D821:O821)</f>
        <v>0</v>
      </c>
    </row>
    <row r="822" spans="3:16" ht="13.5" customHeight="1">
      <c r="C822" s="4" t="s">
        <v>4</v>
      </c>
      <c r="D822" s="47">
        <v>250</v>
      </c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55"/>
      <c r="P822" s="26">
        <f>SUM(D822:O822)</f>
        <v>250</v>
      </c>
    </row>
    <row r="823" spans="3:16" ht="13.5" customHeight="1" thickBot="1">
      <c r="C823" s="4" t="s">
        <v>5</v>
      </c>
      <c r="D823" s="26">
        <v>39389.5</v>
      </c>
      <c r="E823" s="26">
        <v>39389.5</v>
      </c>
      <c r="F823" s="26">
        <v>39389.5</v>
      </c>
      <c r="G823" s="26">
        <v>39389.5</v>
      </c>
      <c r="H823" s="26">
        <v>39389.52</v>
      </c>
      <c r="I823" s="47">
        <v>39337.54</v>
      </c>
      <c r="J823" s="47">
        <v>39337.54</v>
      </c>
      <c r="K823" s="47">
        <v>39337.54</v>
      </c>
      <c r="L823" s="47">
        <v>39337.54</v>
      </c>
      <c r="M823" s="47">
        <v>39337.54</v>
      </c>
      <c r="N823" s="47">
        <v>39337.55</v>
      </c>
      <c r="O823" s="55">
        <v>39337.54</v>
      </c>
      <c r="P823" s="26">
        <f>SUM(D823:O823)</f>
        <v>472310.3099999999</v>
      </c>
    </row>
    <row r="824" spans="3:16" ht="13.5" customHeight="1" thickBot="1">
      <c r="C824" s="6" t="s">
        <v>147</v>
      </c>
      <c r="D824" s="27">
        <f aca="true" t="shared" si="116" ref="D824:P824">SUM(D821:D823)</f>
        <v>39639.5</v>
      </c>
      <c r="E824" s="27">
        <f t="shared" si="116"/>
        <v>39389.5</v>
      </c>
      <c r="F824" s="27">
        <f t="shared" si="116"/>
        <v>39389.5</v>
      </c>
      <c r="G824" s="27">
        <f t="shared" si="116"/>
        <v>39389.5</v>
      </c>
      <c r="H824" s="27">
        <f t="shared" si="116"/>
        <v>39389.52</v>
      </c>
      <c r="I824" s="27">
        <f t="shared" si="116"/>
        <v>39337.54</v>
      </c>
      <c r="J824" s="27">
        <f t="shared" si="116"/>
        <v>39337.54</v>
      </c>
      <c r="K824" s="27">
        <f t="shared" si="116"/>
        <v>39337.54</v>
      </c>
      <c r="L824" s="27">
        <f t="shared" si="116"/>
        <v>39337.54</v>
      </c>
      <c r="M824" s="27">
        <f t="shared" si="116"/>
        <v>39337.54</v>
      </c>
      <c r="N824" s="27">
        <f t="shared" si="116"/>
        <v>39337.55</v>
      </c>
      <c r="O824" s="40">
        <f t="shared" si="116"/>
        <v>39337.54</v>
      </c>
      <c r="P824" s="27">
        <f t="shared" si="116"/>
        <v>472560.3099999999</v>
      </c>
    </row>
    <row r="825" ht="13.5" customHeight="1">
      <c r="C825" s="12"/>
    </row>
    <row r="826" spans="1:3" ht="13.5" customHeight="1">
      <c r="A826" s="1">
        <f>A820+1</f>
        <v>60</v>
      </c>
      <c r="B826" s="21"/>
      <c r="C826" s="5" t="s">
        <v>249</v>
      </c>
    </row>
    <row r="827" spans="3:16" ht="13.5" customHeight="1">
      <c r="C827" s="4" t="s">
        <v>3</v>
      </c>
      <c r="D827" s="47">
        <v>1762.08</v>
      </c>
      <c r="E827" s="47">
        <v>1762.08</v>
      </c>
      <c r="F827" s="47">
        <v>1762.08</v>
      </c>
      <c r="G827" s="47">
        <v>1762.08</v>
      </c>
      <c r="H827" s="47">
        <v>1762.08</v>
      </c>
      <c r="I827" s="47">
        <v>1762.08</v>
      </c>
      <c r="J827" s="47">
        <v>1762.08</v>
      </c>
      <c r="K827" s="47">
        <v>1762.08</v>
      </c>
      <c r="L827" s="47">
        <v>1762.08</v>
      </c>
      <c r="M827" s="47">
        <v>1762.08</v>
      </c>
      <c r="N827" s="47">
        <v>1762.08</v>
      </c>
      <c r="O827" s="55">
        <v>1762.08</v>
      </c>
      <c r="P827" s="26">
        <f>SUM(D827:O827)</f>
        <v>21144.96</v>
      </c>
    </row>
    <row r="828" spans="3:16" ht="13.5" customHeight="1">
      <c r="C828" s="4" t="s">
        <v>4</v>
      </c>
      <c r="D828" s="47">
        <v>250</v>
      </c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55"/>
      <c r="P828" s="26">
        <f>SUM(D828:O828)</f>
        <v>250</v>
      </c>
    </row>
    <row r="829" spans="3:16" ht="13.5" customHeight="1" thickBot="1">
      <c r="C829" s="4" t="s">
        <v>5</v>
      </c>
      <c r="D829" s="26">
        <f aca="true" t="shared" si="117" ref="D829:M829">33750+69361.46</f>
        <v>103111.46</v>
      </c>
      <c r="E829" s="26">
        <f t="shared" si="117"/>
        <v>103111.46</v>
      </c>
      <c r="F829" s="26">
        <f t="shared" si="117"/>
        <v>103111.46</v>
      </c>
      <c r="G829" s="26">
        <f t="shared" si="117"/>
        <v>103111.46</v>
      </c>
      <c r="H829" s="26">
        <f>33750+69361.45</f>
        <v>103111.45</v>
      </c>
      <c r="I829" s="26">
        <f t="shared" si="117"/>
        <v>103111.46</v>
      </c>
      <c r="J829" s="26">
        <f t="shared" si="117"/>
        <v>103111.46</v>
      </c>
      <c r="K829" s="26">
        <f t="shared" si="117"/>
        <v>103111.46</v>
      </c>
      <c r="L829" s="26">
        <f t="shared" si="117"/>
        <v>103111.46</v>
      </c>
      <c r="M829" s="26">
        <f t="shared" si="117"/>
        <v>103111.46</v>
      </c>
      <c r="N829" s="26">
        <f>33750+69361.45</f>
        <v>103111.45</v>
      </c>
      <c r="O829" s="55">
        <f>34583.33+68348.96</f>
        <v>102932.29000000001</v>
      </c>
      <c r="P829" s="26">
        <f>SUM(D829:O829)</f>
        <v>1237158.3299999998</v>
      </c>
    </row>
    <row r="830" spans="3:16" ht="13.5" customHeight="1" thickBot="1">
      <c r="C830" s="6" t="s">
        <v>63</v>
      </c>
      <c r="D830" s="27">
        <f aca="true" t="shared" si="118" ref="D830:P830">SUM(D827:D829)</f>
        <v>105123.54000000001</v>
      </c>
      <c r="E830" s="27">
        <f t="shared" si="118"/>
        <v>104873.54000000001</v>
      </c>
      <c r="F830" s="27">
        <f t="shared" si="118"/>
        <v>104873.54000000001</v>
      </c>
      <c r="G830" s="27">
        <f t="shared" si="118"/>
        <v>104873.54000000001</v>
      </c>
      <c r="H830" s="27">
        <f t="shared" si="118"/>
        <v>104873.53</v>
      </c>
      <c r="I830" s="27">
        <f t="shared" si="118"/>
        <v>104873.54000000001</v>
      </c>
      <c r="J830" s="27">
        <f t="shared" si="118"/>
        <v>104873.54000000001</v>
      </c>
      <c r="K830" s="27">
        <f t="shared" si="118"/>
        <v>104873.54000000001</v>
      </c>
      <c r="L830" s="27">
        <f t="shared" si="118"/>
        <v>104873.54000000001</v>
      </c>
      <c r="M830" s="27">
        <f t="shared" si="118"/>
        <v>104873.54000000001</v>
      </c>
      <c r="N830" s="27">
        <f t="shared" si="118"/>
        <v>104873.53</v>
      </c>
      <c r="O830" s="40">
        <f t="shared" si="118"/>
        <v>104694.37000000001</v>
      </c>
      <c r="P830" s="27">
        <f t="shared" si="118"/>
        <v>1258553.2899999998</v>
      </c>
    </row>
    <row r="831" ht="13.5" customHeight="1">
      <c r="C831" s="12"/>
    </row>
    <row r="832" spans="1:3" ht="13.5" customHeight="1">
      <c r="A832" s="1">
        <f>A826+1</f>
        <v>61</v>
      </c>
      <c r="B832" s="21"/>
      <c r="C832" s="5" t="s">
        <v>253</v>
      </c>
    </row>
    <row r="833" spans="3:16" ht="13.5" customHeight="1">
      <c r="C833" s="4" t="s">
        <v>3</v>
      </c>
      <c r="D833" s="26">
        <v>458.75</v>
      </c>
      <c r="E833" s="47">
        <v>438.75</v>
      </c>
      <c r="F833" s="47">
        <v>438.75</v>
      </c>
      <c r="G833" s="47">
        <v>438.75</v>
      </c>
      <c r="H833" s="47">
        <v>438.75</v>
      </c>
      <c r="I833" s="47">
        <v>438.75</v>
      </c>
      <c r="J833" s="47">
        <v>438.75</v>
      </c>
      <c r="K833" s="47">
        <v>438.75</v>
      </c>
      <c r="L833" s="47">
        <v>438.75</v>
      </c>
      <c r="M833" s="47">
        <v>438.75</v>
      </c>
      <c r="N833" s="47">
        <v>438.75</v>
      </c>
      <c r="O833" s="55">
        <v>438.75</v>
      </c>
      <c r="P833" s="26">
        <f>SUM(D833:O833)</f>
        <v>5285</v>
      </c>
    </row>
    <row r="834" spans="3:16" ht="13.5" customHeight="1">
      <c r="C834" s="4" t="s">
        <v>4</v>
      </c>
      <c r="D834" s="47">
        <v>250</v>
      </c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55"/>
      <c r="P834" s="26">
        <f>SUM(D834:O834)</f>
        <v>250</v>
      </c>
    </row>
    <row r="835" spans="3:16" ht="13.5" customHeight="1" thickBot="1">
      <c r="C835" s="4" t="s">
        <v>5</v>
      </c>
      <c r="D835" s="26">
        <f>20416.67+15558.33</f>
        <v>35975</v>
      </c>
      <c r="E835" s="26">
        <f>20416.67+15558.33</f>
        <v>35975</v>
      </c>
      <c r="F835" s="26">
        <f>20416.67+15558.33</f>
        <v>35975</v>
      </c>
      <c r="G835" s="26">
        <f>20416.67+15558.33</f>
        <v>35975</v>
      </c>
      <c r="H835" s="26">
        <f>20416.63+15558.35</f>
        <v>35974.98</v>
      </c>
      <c r="I835" s="47">
        <f>20833.33+15150</f>
        <v>35983.33</v>
      </c>
      <c r="J835" s="47">
        <f aca="true" t="shared" si="119" ref="J835:P835">20833.33+15150</f>
        <v>35983.33</v>
      </c>
      <c r="K835" s="47">
        <f t="shared" si="119"/>
        <v>35983.33</v>
      </c>
      <c r="L835" s="47">
        <f t="shared" si="119"/>
        <v>35983.33</v>
      </c>
      <c r="M835" s="47">
        <f t="shared" si="119"/>
        <v>35983.33</v>
      </c>
      <c r="N835" s="47">
        <f t="shared" si="119"/>
        <v>35983.33</v>
      </c>
      <c r="O835" s="55">
        <f t="shared" si="119"/>
        <v>35983.33</v>
      </c>
      <c r="P835" s="26">
        <f>SUM(D835:O835)</f>
        <v>431758.2900000001</v>
      </c>
    </row>
    <row r="836" spans="3:16" ht="13.5" customHeight="1" thickBot="1">
      <c r="C836" s="6" t="s">
        <v>16</v>
      </c>
      <c r="D836" s="27">
        <f aca="true" t="shared" si="120" ref="D836:P836">SUM(D833:D835)</f>
        <v>36683.75</v>
      </c>
      <c r="E836" s="27">
        <f t="shared" si="120"/>
        <v>36413.75</v>
      </c>
      <c r="F836" s="27">
        <f t="shared" si="120"/>
        <v>36413.75</v>
      </c>
      <c r="G836" s="27">
        <f t="shared" si="120"/>
        <v>36413.75</v>
      </c>
      <c r="H836" s="27">
        <f t="shared" si="120"/>
        <v>36413.73</v>
      </c>
      <c r="I836" s="27">
        <f t="shared" si="120"/>
        <v>36422.08</v>
      </c>
      <c r="J836" s="27">
        <f t="shared" si="120"/>
        <v>36422.08</v>
      </c>
      <c r="K836" s="27">
        <f t="shared" si="120"/>
        <v>36422.08</v>
      </c>
      <c r="L836" s="27">
        <f t="shared" si="120"/>
        <v>36422.08</v>
      </c>
      <c r="M836" s="27">
        <f t="shared" si="120"/>
        <v>36422.08</v>
      </c>
      <c r="N836" s="27">
        <f t="shared" si="120"/>
        <v>36422.08</v>
      </c>
      <c r="O836" s="40">
        <f t="shared" si="120"/>
        <v>36422.08</v>
      </c>
      <c r="P836" s="27">
        <f t="shared" si="120"/>
        <v>437293.2900000001</v>
      </c>
    </row>
    <row r="837" ht="13.5" customHeight="1">
      <c r="C837" s="12"/>
    </row>
    <row r="838" spans="1:3" ht="13.5" customHeight="1">
      <c r="A838" s="1">
        <f>A832+1</f>
        <v>62</v>
      </c>
      <c r="B838" s="21"/>
      <c r="C838" s="5" t="s">
        <v>254</v>
      </c>
    </row>
    <row r="839" spans="3:16" ht="13.5" customHeight="1">
      <c r="C839" s="4" t="s">
        <v>3</v>
      </c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26">
        <v>0</v>
      </c>
      <c r="M839" s="26">
        <v>0</v>
      </c>
      <c r="N839" s="26">
        <v>0</v>
      </c>
      <c r="O839" s="39">
        <v>0</v>
      </c>
      <c r="P839" s="26">
        <f>SUM(D839:O839)</f>
        <v>0</v>
      </c>
    </row>
    <row r="840" spans="3:16" ht="13.5" customHeight="1">
      <c r="C840" s="4" t="s">
        <v>4</v>
      </c>
      <c r="D840" s="47">
        <v>250</v>
      </c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55"/>
      <c r="P840" s="26">
        <f>SUM(D840:O840)</f>
        <v>250</v>
      </c>
    </row>
    <row r="841" spans="3:16" ht="13.5" customHeight="1" thickBot="1">
      <c r="C841" s="4" t="s">
        <v>5</v>
      </c>
      <c r="D841" s="47">
        <f>17500+83317.71</f>
        <v>100817.71</v>
      </c>
      <c r="E841" s="47">
        <f aca="true" t="shared" si="121" ref="E841:N841">17500+83317.71</f>
        <v>100817.71</v>
      </c>
      <c r="F841" s="47">
        <f t="shared" si="121"/>
        <v>100817.71</v>
      </c>
      <c r="G841" s="47">
        <f t="shared" si="121"/>
        <v>100817.71</v>
      </c>
      <c r="H841" s="47">
        <f t="shared" si="121"/>
        <v>100817.71</v>
      </c>
      <c r="I841" s="47">
        <f>17500+83317.7</f>
        <v>100817.7</v>
      </c>
      <c r="J841" s="47">
        <f t="shared" si="121"/>
        <v>100817.71</v>
      </c>
      <c r="K841" s="47">
        <f t="shared" si="121"/>
        <v>100817.71</v>
      </c>
      <c r="L841" s="47">
        <f t="shared" si="121"/>
        <v>100817.71</v>
      </c>
      <c r="M841" s="47">
        <f t="shared" si="121"/>
        <v>100817.71</v>
      </c>
      <c r="N841" s="47">
        <f t="shared" si="121"/>
        <v>100817.71</v>
      </c>
      <c r="O841" s="55">
        <f>17500+83317.7</f>
        <v>100817.7</v>
      </c>
      <c r="P841" s="26">
        <f>SUM(D841:O841)</f>
        <v>1209812.4999999998</v>
      </c>
    </row>
    <row r="842" spans="3:16" ht="13.5" customHeight="1" thickBot="1">
      <c r="C842" s="6" t="s">
        <v>255</v>
      </c>
      <c r="D842" s="27">
        <f aca="true" t="shared" si="122" ref="D842:P842">SUM(D839:D841)</f>
        <v>101067.71</v>
      </c>
      <c r="E842" s="27">
        <f t="shared" si="122"/>
        <v>100817.71</v>
      </c>
      <c r="F842" s="27">
        <f t="shared" si="122"/>
        <v>100817.71</v>
      </c>
      <c r="G842" s="27">
        <f t="shared" si="122"/>
        <v>100817.71</v>
      </c>
      <c r="H842" s="27">
        <f t="shared" si="122"/>
        <v>100817.71</v>
      </c>
      <c r="I842" s="27">
        <f t="shared" si="122"/>
        <v>100817.7</v>
      </c>
      <c r="J842" s="27">
        <f t="shared" si="122"/>
        <v>100817.71</v>
      </c>
      <c r="K842" s="27">
        <f t="shared" si="122"/>
        <v>100817.71</v>
      </c>
      <c r="L842" s="27">
        <f t="shared" si="122"/>
        <v>100817.71</v>
      </c>
      <c r="M842" s="27">
        <f t="shared" si="122"/>
        <v>100817.71</v>
      </c>
      <c r="N842" s="27">
        <f t="shared" si="122"/>
        <v>100817.71</v>
      </c>
      <c r="O842" s="40">
        <f t="shared" si="122"/>
        <v>100817.7</v>
      </c>
      <c r="P842" s="27">
        <f t="shared" si="122"/>
        <v>1210062.4999999998</v>
      </c>
    </row>
    <row r="843" ht="13.5" customHeight="1">
      <c r="C843" s="12"/>
    </row>
    <row r="844" spans="1:3" ht="13.5" customHeight="1">
      <c r="A844" s="1">
        <f>A838+1</f>
        <v>63</v>
      </c>
      <c r="B844" s="21"/>
      <c r="C844" s="5" t="s">
        <v>256</v>
      </c>
    </row>
    <row r="845" spans="3:16" ht="13.5" customHeight="1">
      <c r="C845" s="4" t="s">
        <v>3</v>
      </c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39">
        <v>0</v>
      </c>
      <c r="P845" s="49">
        <f>SUM(D845:O845)</f>
        <v>0</v>
      </c>
    </row>
    <row r="846" spans="3:16" ht="13.5" customHeight="1">
      <c r="C846" s="4" t="s">
        <v>4</v>
      </c>
      <c r="D846" s="47">
        <v>250</v>
      </c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55"/>
      <c r="P846" s="49">
        <f>SUM(D846:O846)</f>
        <v>250</v>
      </c>
    </row>
    <row r="847" spans="3:16" ht="13.5" customHeight="1" thickBot="1">
      <c r="C847" s="4" t="s">
        <v>5</v>
      </c>
      <c r="D847" s="26">
        <v>46524.38</v>
      </c>
      <c r="E847" s="26">
        <v>46524.38</v>
      </c>
      <c r="F847" s="26">
        <v>46524.38</v>
      </c>
      <c r="G847" s="26">
        <v>46524.38</v>
      </c>
      <c r="H847" s="26">
        <v>46524.35</v>
      </c>
      <c r="I847" s="47">
        <f>45416.67+93048.75</f>
        <v>138465.41999999998</v>
      </c>
      <c r="J847" s="47">
        <f aca="true" t="shared" si="123" ref="J847:P847">45416.67+93048.75</f>
        <v>138465.41999999998</v>
      </c>
      <c r="K847" s="47">
        <f t="shared" si="123"/>
        <v>138465.41999999998</v>
      </c>
      <c r="L847" s="47">
        <f t="shared" si="123"/>
        <v>138465.41999999998</v>
      </c>
      <c r="M847" s="47">
        <f t="shared" si="123"/>
        <v>138465.41999999998</v>
      </c>
      <c r="N847" s="47">
        <f t="shared" si="123"/>
        <v>138465.41999999998</v>
      </c>
      <c r="O847" s="55">
        <f t="shared" si="123"/>
        <v>138465.41999999998</v>
      </c>
      <c r="P847" s="49">
        <f>SUM(D847:O847)</f>
        <v>1201879.8099999996</v>
      </c>
    </row>
    <row r="848" spans="3:16" ht="13.5" customHeight="1" thickBot="1">
      <c r="C848" s="6" t="s">
        <v>116</v>
      </c>
      <c r="D848" s="50">
        <f aca="true" t="shared" si="124" ref="D848:P848">SUM(D845:D847)</f>
        <v>46774.38</v>
      </c>
      <c r="E848" s="50">
        <f t="shared" si="124"/>
        <v>46524.38</v>
      </c>
      <c r="F848" s="50">
        <f t="shared" si="124"/>
        <v>46524.38</v>
      </c>
      <c r="G848" s="50">
        <f t="shared" si="124"/>
        <v>46524.38</v>
      </c>
      <c r="H848" s="50">
        <f t="shared" si="124"/>
        <v>46524.35</v>
      </c>
      <c r="I848" s="50">
        <f t="shared" si="124"/>
        <v>138465.41999999998</v>
      </c>
      <c r="J848" s="50">
        <f t="shared" si="124"/>
        <v>138465.41999999998</v>
      </c>
      <c r="K848" s="50">
        <f t="shared" si="124"/>
        <v>138465.41999999998</v>
      </c>
      <c r="L848" s="50">
        <f t="shared" si="124"/>
        <v>138465.41999999998</v>
      </c>
      <c r="M848" s="50">
        <f t="shared" si="124"/>
        <v>138465.41999999998</v>
      </c>
      <c r="N848" s="50">
        <f t="shared" si="124"/>
        <v>138465.41999999998</v>
      </c>
      <c r="O848" s="52">
        <f t="shared" si="124"/>
        <v>138465.41999999998</v>
      </c>
      <c r="P848" s="50">
        <f t="shared" si="124"/>
        <v>1202129.8099999996</v>
      </c>
    </row>
    <row r="849" ht="13.5" customHeight="1">
      <c r="C849" s="12"/>
    </row>
    <row r="850" spans="1:3" ht="13.5" customHeight="1">
      <c r="A850" s="1">
        <f>A844+1</f>
        <v>64</v>
      </c>
      <c r="B850" s="21"/>
      <c r="C850" s="5" t="s">
        <v>258</v>
      </c>
    </row>
    <row r="851" spans="3:16" ht="13.5" customHeight="1">
      <c r="C851" s="4" t="s">
        <v>3</v>
      </c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0</v>
      </c>
      <c r="O851" s="39">
        <v>0</v>
      </c>
      <c r="P851" s="26">
        <f>SUM(D851:O851)</f>
        <v>0</v>
      </c>
    </row>
    <row r="852" spans="3:16" ht="13.5" customHeight="1">
      <c r="C852" s="4" t="s">
        <v>4</v>
      </c>
      <c r="D852" s="47">
        <v>250</v>
      </c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55"/>
      <c r="P852" s="26">
        <f>SUM(D852:O852)</f>
        <v>250</v>
      </c>
    </row>
    <row r="853" spans="3:16" ht="13.5" customHeight="1" thickBot="1">
      <c r="C853" s="4" t="s">
        <v>5</v>
      </c>
      <c r="D853" s="26">
        <v>25817.77</v>
      </c>
      <c r="E853" s="26">
        <v>25817.77</v>
      </c>
      <c r="F853" s="26">
        <v>25817.77</v>
      </c>
      <c r="G853" s="26">
        <v>25817.77</v>
      </c>
      <c r="H853" s="26">
        <v>25817.77</v>
      </c>
      <c r="I853" s="26">
        <v>25817.77</v>
      </c>
      <c r="J853" s="26">
        <v>25817.77</v>
      </c>
      <c r="K853" s="26">
        <v>25817.77</v>
      </c>
      <c r="L853" s="26">
        <v>25817.77</v>
      </c>
      <c r="M853" s="26">
        <v>25817.77</v>
      </c>
      <c r="N853" s="26">
        <v>25817.77</v>
      </c>
      <c r="O853" s="39">
        <v>25817.77</v>
      </c>
      <c r="P853" s="26">
        <f>SUM(D853:O853)</f>
        <v>309813.24</v>
      </c>
    </row>
    <row r="854" spans="3:16" ht="13.5" customHeight="1" thickBot="1">
      <c r="C854" s="6" t="s">
        <v>257</v>
      </c>
      <c r="D854" s="27">
        <f aca="true" t="shared" si="125" ref="D854:P854">SUM(D851:D853)</f>
        <v>26067.77</v>
      </c>
      <c r="E854" s="27">
        <f t="shared" si="125"/>
        <v>25817.77</v>
      </c>
      <c r="F854" s="27">
        <f t="shared" si="125"/>
        <v>25817.77</v>
      </c>
      <c r="G854" s="27">
        <f t="shared" si="125"/>
        <v>25817.77</v>
      </c>
      <c r="H854" s="27">
        <f t="shared" si="125"/>
        <v>25817.77</v>
      </c>
      <c r="I854" s="27">
        <f t="shared" si="125"/>
        <v>25817.77</v>
      </c>
      <c r="J854" s="27">
        <f t="shared" si="125"/>
        <v>25817.77</v>
      </c>
      <c r="K854" s="27">
        <f t="shared" si="125"/>
        <v>25817.77</v>
      </c>
      <c r="L854" s="27">
        <f t="shared" si="125"/>
        <v>25817.77</v>
      </c>
      <c r="M854" s="27">
        <f t="shared" si="125"/>
        <v>25817.77</v>
      </c>
      <c r="N854" s="27">
        <f t="shared" si="125"/>
        <v>25817.77</v>
      </c>
      <c r="O854" s="40">
        <f t="shared" si="125"/>
        <v>25817.77</v>
      </c>
      <c r="P854" s="27">
        <f t="shared" si="125"/>
        <v>310063.24</v>
      </c>
    </row>
    <row r="855" ht="13.5" customHeight="1">
      <c r="C855" s="12"/>
    </row>
    <row r="856" spans="1:3" ht="13.5" customHeight="1">
      <c r="A856" s="1">
        <f>A850+1</f>
        <v>65</v>
      </c>
      <c r="B856" s="21"/>
      <c r="C856" s="5" t="s">
        <v>259</v>
      </c>
    </row>
    <row r="857" spans="3:16" ht="13.5" customHeight="1">
      <c r="C857" s="4" t="s">
        <v>3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39">
        <v>0</v>
      </c>
      <c r="P857" s="26">
        <f>SUM(D857:O857)</f>
        <v>0</v>
      </c>
    </row>
    <row r="858" spans="3:16" ht="13.5" customHeight="1">
      <c r="C858" s="4" t="s">
        <v>4</v>
      </c>
      <c r="D858" s="47">
        <v>250</v>
      </c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55"/>
      <c r="P858" s="26">
        <f>SUM(D858:O858)</f>
        <v>250</v>
      </c>
    </row>
    <row r="859" spans="3:16" ht="13.5" customHeight="1" thickBot="1">
      <c r="C859" s="4" t="s">
        <v>5</v>
      </c>
      <c r="D859" s="26">
        <v>72894.79</v>
      </c>
      <c r="E859" s="26">
        <v>72894.79</v>
      </c>
      <c r="F859" s="47">
        <v>82478.13</v>
      </c>
      <c r="G859" s="47">
        <v>82478.13</v>
      </c>
      <c r="H859" s="47">
        <v>82478.13</v>
      </c>
      <c r="I859" s="47">
        <v>82478.13</v>
      </c>
      <c r="J859" s="47">
        <v>82478.13</v>
      </c>
      <c r="K859" s="47">
        <v>82478.13</v>
      </c>
      <c r="L859" s="47">
        <v>82478.13</v>
      </c>
      <c r="M859" s="47">
        <v>82478.13</v>
      </c>
      <c r="N859" s="47">
        <v>82478.13</v>
      </c>
      <c r="O859" s="55">
        <v>82478.13</v>
      </c>
      <c r="P859" s="26">
        <f>SUM(D859:O859)</f>
        <v>970570.88</v>
      </c>
    </row>
    <row r="860" spans="3:16" ht="13.5" customHeight="1" thickBot="1">
      <c r="C860" s="6" t="s">
        <v>89</v>
      </c>
      <c r="D860" s="27">
        <f aca="true" t="shared" si="126" ref="D860:P860">SUM(D857:D859)</f>
        <v>73144.79</v>
      </c>
      <c r="E860" s="27">
        <f t="shared" si="126"/>
        <v>72894.79</v>
      </c>
      <c r="F860" s="27">
        <f t="shared" si="126"/>
        <v>82478.13</v>
      </c>
      <c r="G860" s="27">
        <f t="shared" si="126"/>
        <v>82478.13</v>
      </c>
      <c r="H860" s="27">
        <f t="shared" si="126"/>
        <v>82478.13</v>
      </c>
      <c r="I860" s="27">
        <f t="shared" si="126"/>
        <v>82478.13</v>
      </c>
      <c r="J860" s="27">
        <f t="shared" si="126"/>
        <v>82478.13</v>
      </c>
      <c r="K860" s="27">
        <f t="shared" si="126"/>
        <v>82478.13</v>
      </c>
      <c r="L860" s="27">
        <f t="shared" si="126"/>
        <v>82478.13</v>
      </c>
      <c r="M860" s="27">
        <f t="shared" si="126"/>
        <v>82478.13</v>
      </c>
      <c r="N860" s="27">
        <f t="shared" si="126"/>
        <v>82478.13</v>
      </c>
      <c r="O860" s="40">
        <f t="shared" si="126"/>
        <v>82478.13</v>
      </c>
      <c r="P860" s="27">
        <f t="shared" si="126"/>
        <v>970820.88</v>
      </c>
    </row>
    <row r="861" ht="13.5" customHeight="1">
      <c r="C861" s="12"/>
    </row>
    <row r="862" spans="1:3" ht="13.5" customHeight="1">
      <c r="A862" s="1">
        <f>A856+1</f>
        <v>66</v>
      </c>
      <c r="B862" s="21"/>
      <c r="C862" s="5" t="s">
        <v>260</v>
      </c>
    </row>
    <row r="863" spans="3:16" ht="13.5" customHeight="1">
      <c r="C863" s="4" t="s">
        <v>3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39">
        <v>0</v>
      </c>
      <c r="P863" s="26">
        <f>SUM(D863:O863)</f>
        <v>0</v>
      </c>
    </row>
    <row r="864" spans="3:16" ht="13.5" customHeight="1">
      <c r="C864" s="4" t="s">
        <v>4</v>
      </c>
      <c r="D864" s="47">
        <v>250</v>
      </c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55"/>
      <c r="P864" s="26">
        <f>SUM(D864:O864)</f>
        <v>250</v>
      </c>
    </row>
    <row r="865" spans="3:16" ht="13.5" customHeight="1" thickBot="1">
      <c r="C865" s="4" t="s">
        <v>5</v>
      </c>
      <c r="D865" s="26">
        <f>7083.33+140080.17</f>
        <v>147163.5</v>
      </c>
      <c r="E865" s="26">
        <f>7083.33+140080.17</f>
        <v>147163.5</v>
      </c>
      <c r="F865" s="26">
        <f>7083.33+140080.17</f>
        <v>147163.5</v>
      </c>
      <c r="G865" s="26">
        <f>7083.33+140080.17</f>
        <v>147163.5</v>
      </c>
      <c r="H865" s="26">
        <f>7083.33+140080.17</f>
        <v>147163.5</v>
      </c>
      <c r="I865" s="47">
        <f>12083.33+139619.75</f>
        <v>151703.08</v>
      </c>
      <c r="J865" s="47">
        <f aca="true" t="shared" si="127" ref="J865:P865">12083.33+139619.75</f>
        <v>151703.08</v>
      </c>
      <c r="K865" s="47">
        <f t="shared" si="127"/>
        <v>151703.08</v>
      </c>
      <c r="L865" s="47">
        <f t="shared" si="127"/>
        <v>151703.08</v>
      </c>
      <c r="M865" s="47">
        <f t="shared" si="127"/>
        <v>151703.08</v>
      </c>
      <c r="N865" s="47">
        <f t="shared" si="127"/>
        <v>151703.08</v>
      </c>
      <c r="O865" s="55">
        <f t="shared" si="127"/>
        <v>151703.08</v>
      </c>
      <c r="P865" s="26">
        <f>SUM(D865:O865)</f>
        <v>1797739.0600000003</v>
      </c>
    </row>
    <row r="866" spans="3:16" ht="13.5" customHeight="1" thickBot="1">
      <c r="C866" s="6" t="s">
        <v>65</v>
      </c>
      <c r="D866" s="27">
        <f aca="true" t="shared" si="128" ref="D866:P866">SUM(D863:D865)</f>
        <v>147413.5</v>
      </c>
      <c r="E866" s="27">
        <f t="shared" si="128"/>
        <v>147163.5</v>
      </c>
      <c r="F866" s="27">
        <f t="shared" si="128"/>
        <v>147163.5</v>
      </c>
      <c r="G866" s="27">
        <f t="shared" si="128"/>
        <v>147163.5</v>
      </c>
      <c r="H866" s="27">
        <f t="shared" si="128"/>
        <v>147163.5</v>
      </c>
      <c r="I866" s="27">
        <f t="shared" si="128"/>
        <v>151703.08</v>
      </c>
      <c r="J866" s="27">
        <f t="shared" si="128"/>
        <v>151703.08</v>
      </c>
      <c r="K866" s="27">
        <f t="shared" si="128"/>
        <v>151703.08</v>
      </c>
      <c r="L866" s="27">
        <f t="shared" si="128"/>
        <v>151703.08</v>
      </c>
      <c r="M866" s="27">
        <f t="shared" si="128"/>
        <v>151703.08</v>
      </c>
      <c r="N866" s="27">
        <f t="shared" si="128"/>
        <v>151703.08</v>
      </c>
      <c r="O866" s="40">
        <f t="shared" si="128"/>
        <v>151703.08</v>
      </c>
      <c r="P866" s="27">
        <f t="shared" si="128"/>
        <v>1797989.0600000003</v>
      </c>
    </row>
    <row r="867" ht="13.5" customHeight="1">
      <c r="C867" s="12"/>
    </row>
    <row r="868" spans="1:3" ht="13.5" customHeight="1">
      <c r="A868" s="1">
        <f>A862+1</f>
        <v>67</v>
      </c>
      <c r="B868" s="21"/>
      <c r="C868" s="5" t="s">
        <v>261</v>
      </c>
    </row>
    <row r="869" spans="3:16" ht="13.5" customHeight="1">
      <c r="C869" s="4" t="s">
        <v>3</v>
      </c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6">
        <v>0</v>
      </c>
      <c r="M869" s="26">
        <v>0</v>
      </c>
      <c r="N869" s="26">
        <v>0</v>
      </c>
      <c r="O869" s="39">
        <v>0</v>
      </c>
      <c r="P869" s="49">
        <f>SUM(D869:O869)</f>
        <v>0</v>
      </c>
    </row>
    <row r="870" spans="3:16" ht="13.5" customHeight="1">
      <c r="C870" s="4" t="s">
        <v>4</v>
      </c>
      <c r="D870" s="47">
        <v>250</v>
      </c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55"/>
      <c r="P870" s="49">
        <f>SUM(D870:O870)</f>
        <v>250</v>
      </c>
    </row>
    <row r="871" spans="3:16" ht="13.5" customHeight="1" thickBot="1">
      <c r="C871" s="4" t="s">
        <v>5</v>
      </c>
      <c r="D871" s="47">
        <f>27916.67+67668.75</f>
        <v>95585.42</v>
      </c>
      <c r="E871" s="47">
        <f aca="true" t="shared" si="129" ref="E871:M871">27916.67+67668.75</f>
        <v>95585.42</v>
      </c>
      <c r="F871" s="47">
        <f t="shared" si="129"/>
        <v>95585.42</v>
      </c>
      <c r="G871" s="47">
        <f t="shared" si="129"/>
        <v>95585.42</v>
      </c>
      <c r="H871" s="47">
        <f t="shared" si="129"/>
        <v>95585.42</v>
      </c>
      <c r="I871" s="47">
        <f t="shared" si="129"/>
        <v>95585.42</v>
      </c>
      <c r="J871" s="47">
        <f t="shared" si="129"/>
        <v>95585.42</v>
      </c>
      <c r="K871" s="47">
        <f t="shared" si="129"/>
        <v>95585.42</v>
      </c>
      <c r="L871" s="47">
        <f t="shared" si="129"/>
        <v>95585.42</v>
      </c>
      <c r="M871" s="47">
        <f t="shared" si="129"/>
        <v>95585.42</v>
      </c>
      <c r="N871" s="47">
        <f>27916.63+67668.75</f>
        <v>95585.38</v>
      </c>
      <c r="O871" s="55">
        <f>29166.67+66412.5</f>
        <v>95579.17</v>
      </c>
      <c r="P871" s="49">
        <f>SUM(D871:O871)</f>
        <v>1147018.75</v>
      </c>
    </row>
    <row r="872" spans="3:16" ht="13.5" customHeight="1" thickBot="1">
      <c r="C872" s="6" t="s">
        <v>262</v>
      </c>
      <c r="D872" s="50">
        <f aca="true" t="shared" si="130" ref="D872:P872">SUM(D869:D871)</f>
        <v>95835.42</v>
      </c>
      <c r="E872" s="50">
        <f t="shared" si="130"/>
        <v>95585.42</v>
      </c>
      <c r="F872" s="50">
        <f t="shared" si="130"/>
        <v>95585.42</v>
      </c>
      <c r="G872" s="50">
        <f t="shared" si="130"/>
        <v>95585.42</v>
      </c>
      <c r="H872" s="50">
        <f t="shared" si="130"/>
        <v>95585.42</v>
      </c>
      <c r="I872" s="50">
        <f t="shared" si="130"/>
        <v>95585.42</v>
      </c>
      <c r="J872" s="50">
        <f t="shared" si="130"/>
        <v>95585.42</v>
      </c>
      <c r="K872" s="50">
        <f t="shared" si="130"/>
        <v>95585.42</v>
      </c>
      <c r="L872" s="50">
        <f t="shared" si="130"/>
        <v>95585.42</v>
      </c>
      <c r="M872" s="50">
        <f t="shared" si="130"/>
        <v>95585.42</v>
      </c>
      <c r="N872" s="50">
        <f t="shared" si="130"/>
        <v>95585.38</v>
      </c>
      <c r="O872" s="52">
        <f t="shared" si="130"/>
        <v>95579.17</v>
      </c>
      <c r="P872" s="50">
        <f t="shared" si="130"/>
        <v>1147268.75</v>
      </c>
    </row>
    <row r="873" spans="3:16" ht="13.5" customHeight="1">
      <c r="C873" s="12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55"/>
      <c r="P873" s="47"/>
    </row>
    <row r="874" spans="1:3" ht="13.5" customHeight="1">
      <c r="A874" s="1">
        <f>A868+1</f>
        <v>68</v>
      </c>
      <c r="B874" s="21"/>
      <c r="C874" s="5" t="s">
        <v>263</v>
      </c>
    </row>
    <row r="875" spans="3:16" ht="13.5" customHeight="1">
      <c r="C875" s="4" t="s">
        <v>3</v>
      </c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39">
        <v>0</v>
      </c>
      <c r="P875" s="26">
        <f>SUM(D875:O875)</f>
        <v>0</v>
      </c>
    </row>
    <row r="876" spans="3:16" ht="13.5" customHeight="1">
      <c r="C876" s="4" t="s">
        <v>4</v>
      </c>
      <c r="D876" s="47">
        <v>250</v>
      </c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55"/>
      <c r="P876" s="26">
        <f>SUM(D876:O876)</f>
        <v>250</v>
      </c>
    </row>
    <row r="877" spans="3:16" ht="13.5" customHeight="1" thickBot="1">
      <c r="C877" s="4" t="s">
        <v>5</v>
      </c>
      <c r="D877" s="26">
        <v>43410.91</v>
      </c>
      <c r="E877" s="26">
        <v>43410.91</v>
      </c>
      <c r="F877" s="26">
        <v>43410.91</v>
      </c>
      <c r="G877" s="26">
        <v>43410.91</v>
      </c>
      <c r="H877" s="47">
        <f>21512+43410.91</f>
        <v>64922.91</v>
      </c>
      <c r="I877" s="47">
        <f>12500+43420</f>
        <v>55920</v>
      </c>
      <c r="J877" s="47">
        <f>13333.33+42770+183.33</f>
        <v>56286.66</v>
      </c>
      <c r="K877" s="47">
        <f>13333.33+42770</f>
        <v>56103.33</v>
      </c>
      <c r="L877" s="47">
        <f>13333.33+42770</f>
        <v>56103.33</v>
      </c>
      <c r="M877" s="47">
        <f>13333.33+42770</f>
        <v>56103.33</v>
      </c>
      <c r="N877" s="47">
        <f>13333.33+42770</f>
        <v>56103.33</v>
      </c>
      <c r="O877" s="55">
        <f>13333.33+42770</f>
        <v>56103.33</v>
      </c>
      <c r="P877" s="26">
        <f>SUM(D877:O877)</f>
        <v>631289.8600000001</v>
      </c>
    </row>
    <row r="878" spans="3:16" ht="13.5" customHeight="1" thickBot="1">
      <c r="C878" s="6" t="s">
        <v>264</v>
      </c>
      <c r="D878" s="27">
        <f aca="true" t="shared" si="131" ref="D878:P878">SUM(D875:D877)</f>
        <v>43660.91</v>
      </c>
      <c r="E878" s="27">
        <f t="shared" si="131"/>
        <v>43410.91</v>
      </c>
      <c r="F878" s="27">
        <f t="shared" si="131"/>
        <v>43410.91</v>
      </c>
      <c r="G878" s="27">
        <f t="shared" si="131"/>
        <v>43410.91</v>
      </c>
      <c r="H878" s="27">
        <f t="shared" si="131"/>
        <v>64922.91</v>
      </c>
      <c r="I878" s="27">
        <f t="shared" si="131"/>
        <v>55920</v>
      </c>
      <c r="J878" s="27">
        <f t="shared" si="131"/>
        <v>56286.66</v>
      </c>
      <c r="K878" s="27">
        <f t="shared" si="131"/>
        <v>56103.33</v>
      </c>
      <c r="L878" s="27">
        <f t="shared" si="131"/>
        <v>56103.33</v>
      </c>
      <c r="M878" s="27">
        <f t="shared" si="131"/>
        <v>56103.33</v>
      </c>
      <c r="N878" s="27">
        <f t="shared" si="131"/>
        <v>56103.33</v>
      </c>
      <c r="O878" s="40">
        <f t="shared" si="131"/>
        <v>56103.33</v>
      </c>
      <c r="P878" s="27">
        <f t="shared" si="131"/>
        <v>631539.8600000001</v>
      </c>
    </row>
    <row r="879" ht="13.5" customHeight="1">
      <c r="C879" s="12"/>
    </row>
    <row r="880" spans="1:3" ht="13.5" customHeight="1">
      <c r="A880" s="1">
        <f>A874+1</f>
        <v>69</v>
      </c>
      <c r="B880" s="21"/>
      <c r="C880" s="5" t="s">
        <v>265</v>
      </c>
    </row>
    <row r="881" spans="3:16" ht="13.5" customHeight="1">
      <c r="C881" s="4" t="s">
        <v>3</v>
      </c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39">
        <v>0</v>
      </c>
      <c r="P881" s="26">
        <f>SUM(D881:O881)</f>
        <v>0</v>
      </c>
    </row>
    <row r="882" spans="3:16" ht="13.5" customHeight="1">
      <c r="C882" s="4" t="s">
        <v>4</v>
      </c>
      <c r="D882" s="47">
        <v>250</v>
      </c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55"/>
      <c r="P882" s="26">
        <f>SUM(D882:O882)</f>
        <v>250</v>
      </c>
    </row>
    <row r="883" spans="3:16" ht="13.5" customHeight="1" thickBot="1">
      <c r="C883" s="4" t="s">
        <v>5</v>
      </c>
      <c r="D883" s="26">
        <f>26250+35514.58</f>
        <v>61764.58</v>
      </c>
      <c r="E883" s="26">
        <f>26250+35514.58</f>
        <v>61764.58</v>
      </c>
      <c r="F883" s="26">
        <f>26250+35514.58</f>
        <v>61764.58</v>
      </c>
      <c r="G883" s="26">
        <f>26250+35514.6</f>
        <v>61764.6</v>
      </c>
      <c r="H883" s="47">
        <f>27083.33+34563.02</f>
        <v>61646.35</v>
      </c>
      <c r="I883" s="47">
        <f aca="true" t="shared" si="132" ref="I883:P883">27083.33+34563.02</f>
        <v>61646.35</v>
      </c>
      <c r="J883" s="47">
        <f t="shared" si="132"/>
        <v>61646.35</v>
      </c>
      <c r="K883" s="47">
        <f t="shared" si="132"/>
        <v>61646.35</v>
      </c>
      <c r="L883" s="47">
        <f t="shared" si="132"/>
        <v>61646.35</v>
      </c>
      <c r="M883" s="47">
        <f>27083.33+34563.03</f>
        <v>61646.36</v>
      </c>
      <c r="N883" s="47">
        <f t="shared" si="132"/>
        <v>61646.35</v>
      </c>
      <c r="O883" s="55">
        <f t="shared" si="132"/>
        <v>61646.35</v>
      </c>
      <c r="P883" s="26">
        <f>SUM(D883:O883)</f>
        <v>740229.1499999999</v>
      </c>
    </row>
    <row r="884" spans="3:16" ht="13.5" customHeight="1" thickBot="1">
      <c r="C884" s="6" t="s">
        <v>266</v>
      </c>
      <c r="D884" s="27">
        <f aca="true" t="shared" si="133" ref="D884:P884">SUM(D881:D883)</f>
        <v>62014.58</v>
      </c>
      <c r="E884" s="27">
        <f t="shared" si="133"/>
        <v>61764.58</v>
      </c>
      <c r="F884" s="27">
        <f t="shared" si="133"/>
        <v>61764.58</v>
      </c>
      <c r="G884" s="27">
        <f t="shared" si="133"/>
        <v>61764.6</v>
      </c>
      <c r="H884" s="27">
        <f t="shared" si="133"/>
        <v>61646.35</v>
      </c>
      <c r="I884" s="27">
        <f t="shared" si="133"/>
        <v>61646.35</v>
      </c>
      <c r="J884" s="27">
        <f t="shared" si="133"/>
        <v>61646.35</v>
      </c>
      <c r="K884" s="27">
        <f t="shared" si="133"/>
        <v>61646.35</v>
      </c>
      <c r="L884" s="27">
        <f t="shared" si="133"/>
        <v>61646.35</v>
      </c>
      <c r="M884" s="27">
        <f t="shared" si="133"/>
        <v>61646.36</v>
      </c>
      <c r="N884" s="27">
        <f t="shared" si="133"/>
        <v>61646.35</v>
      </c>
      <c r="O884" s="40">
        <f t="shared" si="133"/>
        <v>61646.35</v>
      </c>
      <c r="P884" s="27">
        <f t="shared" si="133"/>
        <v>740479.1499999999</v>
      </c>
    </row>
    <row r="885" ht="13.5" customHeight="1">
      <c r="C885" s="12"/>
    </row>
    <row r="886" spans="1:3" ht="13.5" customHeight="1">
      <c r="A886" s="1">
        <f>A880+1</f>
        <v>70</v>
      </c>
      <c r="B886" s="21"/>
      <c r="C886" s="5" t="s">
        <v>267</v>
      </c>
    </row>
    <row r="887" spans="3:16" ht="13.5" customHeight="1">
      <c r="C887" s="4" t="s">
        <v>3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39">
        <v>0</v>
      </c>
      <c r="P887" s="26">
        <f>SUM(D887:O887)</f>
        <v>0</v>
      </c>
    </row>
    <row r="888" spans="3:16" ht="13.5" customHeight="1">
      <c r="C888" s="4" t="s">
        <v>4</v>
      </c>
      <c r="D888" s="47">
        <v>250</v>
      </c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55"/>
      <c r="P888" s="26">
        <f>SUM(D888:O888)</f>
        <v>250</v>
      </c>
    </row>
    <row r="889" spans="3:16" ht="13.5" customHeight="1" thickBot="1">
      <c r="C889" s="4" t="s">
        <v>5</v>
      </c>
      <c r="D889" s="26">
        <v>43556.25</v>
      </c>
      <c r="E889" s="26">
        <v>43556.25</v>
      </c>
      <c r="F889" s="26">
        <v>43556.25</v>
      </c>
      <c r="G889" s="26">
        <v>43556.25</v>
      </c>
      <c r="H889" s="26">
        <v>43556.25</v>
      </c>
      <c r="I889" s="47">
        <f>10416.67+43556.25</f>
        <v>53972.92</v>
      </c>
      <c r="J889" s="47">
        <f aca="true" t="shared" si="134" ref="J889:P889">10416.67+43556.25</f>
        <v>53972.92</v>
      </c>
      <c r="K889" s="47">
        <f t="shared" si="134"/>
        <v>53972.92</v>
      </c>
      <c r="L889" s="47">
        <f t="shared" si="134"/>
        <v>53972.92</v>
      </c>
      <c r="M889" s="47">
        <f t="shared" si="134"/>
        <v>53972.92</v>
      </c>
      <c r="N889" s="47">
        <f t="shared" si="134"/>
        <v>53972.92</v>
      </c>
      <c r="O889" s="55">
        <f t="shared" si="134"/>
        <v>53972.92</v>
      </c>
      <c r="P889" s="26">
        <f>SUM(D889:O889)</f>
        <v>595591.69</v>
      </c>
    </row>
    <row r="890" spans="3:16" ht="13.5" customHeight="1" thickBot="1">
      <c r="C890" s="6" t="s">
        <v>268</v>
      </c>
      <c r="D890" s="27">
        <f aca="true" t="shared" si="135" ref="D890:P890">SUM(D887:D889)</f>
        <v>43806.25</v>
      </c>
      <c r="E890" s="27">
        <f t="shared" si="135"/>
        <v>43556.25</v>
      </c>
      <c r="F890" s="27">
        <f t="shared" si="135"/>
        <v>43556.25</v>
      </c>
      <c r="G890" s="27">
        <f t="shared" si="135"/>
        <v>43556.25</v>
      </c>
      <c r="H890" s="27">
        <f t="shared" si="135"/>
        <v>43556.25</v>
      </c>
      <c r="I890" s="27">
        <f t="shared" si="135"/>
        <v>53972.92</v>
      </c>
      <c r="J890" s="27">
        <f t="shared" si="135"/>
        <v>53972.92</v>
      </c>
      <c r="K890" s="27">
        <f t="shared" si="135"/>
        <v>53972.92</v>
      </c>
      <c r="L890" s="27">
        <f t="shared" si="135"/>
        <v>53972.92</v>
      </c>
      <c r="M890" s="27">
        <f t="shared" si="135"/>
        <v>53972.92</v>
      </c>
      <c r="N890" s="27">
        <f t="shared" si="135"/>
        <v>53972.92</v>
      </c>
      <c r="O890" s="40">
        <f t="shared" si="135"/>
        <v>53972.92</v>
      </c>
      <c r="P890" s="27">
        <f t="shared" si="135"/>
        <v>595841.69</v>
      </c>
    </row>
    <row r="891" ht="13.5" customHeight="1">
      <c r="C891" s="12"/>
    </row>
    <row r="892" spans="1:3" ht="13.5" customHeight="1">
      <c r="A892" s="1">
        <f>A886+1</f>
        <v>71</v>
      </c>
      <c r="B892" s="21"/>
      <c r="C892" s="5" t="s">
        <v>269</v>
      </c>
    </row>
    <row r="893" spans="3:16" ht="13.5" customHeight="1">
      <c r="C893" s="4" t="s">
        <v>3</v>
      </c>
      <c r="D893" s="26">
        <v>496.67</v>
      </c>
      <c r="E893" s="26">
        <v>496.67</v>
      </c>
      <c r="F893" s="26">
        <v>496.67</v>
      </c>
      <c r="G893" s="26">
        <v>496.67</v>
      </c>
      <c r="H893" s="26">
        <v>496.67</v>
      </c>
      <c r="I893" s="26">
        <v>496.67</v>
      </c>
      <c r="J893" s="26">
        <v>496.67</v>
      </c>
      <c r="K893" s="47">
        <v>486.25</v>
      </c>
      <c r="L893" s="47">
        <v>486.25</v>
      </c>
      <c r="M893" s="47">
        <v>486.25</v>
      </c>
      <c r="N893" s="47">
        <v>486.25</v>
      </c>
      <c r="O893" s="55">
        <v>486.25</v>
      </c>
      <c r="P893" s="26">
        <f>SUM(D893:O893)</f>
        <v>5907.9400000000005</v>
      </c>
    </row>
    <row r="894" spans="3:16" ht="13.5" customHeight="1">
      <c r="C894" s="4" t="s">
        <v>4</v>
      </c>
      <c r="D894" s="47">
        <v>250</v>
      </c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55"/>
      <c r="P894" s="26">
        <f>SUM(D894:O894)</f>
        <v>250</v>
      </c>
    </row>
    <row r="895" spans="3:16" ht="13.5" customHeight="1" thickBot="1">
      <c r="C895" s="4" t="s">
        <v>5</v>
      </c>
      <c r="D895" s="26">
        <f aca="true" t="shared" si="136" ref="D895:J895">10416.67+21008.33</f>
        <v>31425</v>
      </c>
      <c r="E895" s="26">
        <f>10416.67+21008.35</f>
        <v>31425.019999999997</v>
      </c>
      <c r="F895" s="26">
        <f t="shared" si="136"/>
        <v>31425</v>
      </c>
      <c r="G895" s="26">
        <f t="shared" si="136"/>
        <v>31425</v>
      </c>
      <c r="H895" s="26">
        <f t="shared" si="136"/>
        <v>31425</v>
      </c>
      <c r="I895" s="26">
        <f t="shared" si="136"/>
        <v>31425</v>
      </c>
      <c r="J895" s="26">
        <f t="shared" si="136"/>
        <v>31425</v>
      </c>
      <c r="K895" s="26">
        <f>10416.67+21008.35</f>
        <v>31425.019999999997</v>
      </c>
      <c r="L895" s="47">
        <f>10833.33+20591.67</f>
        <v>31425</v>
      </c>
      <c r="M895" s="47">
        <f>10833.33+20591.67</f>
        <v>31425</v>
      </c>
      <c r="N895" s="47">
        <f>10833.33+20591.67</f>
        <v>31425</v>
      </c>
      <c r="O895" s="55">
        <f>10833.33+20591.67</f>
        <v>31425</v>
      </c>
      <c r="P895" s="26">
        <f>SUM(D895:O895)</f>
        <v>377100.04</v>
      </c>
    </row>
    <row r="896" spans="3:16" ht="13.5" customHeight="1" thickBot="1">
      <c r="C896" s="6" t="s">
        <v>270</v>
      </c>
      <c r="D896" s="27">
        <f aca="true" t="shared" si="137" ref="D896:P896">SUM(D893:D895)</f>
        <v>32171.67</v>
      </c>
      <c r="E896" s="27">
        <f t="shared" si="137"/>
        <v>31921.689999999995</v>
      </c>
      <c r="F896" s="27">
        <f t="shared" si="137"/>
        <v>31921.67</v>
      </c>
      <c r="G896" s="27">
        <f t="shared" si="137"/>
        <v>31921.67</v>
      </c>
      <c r="H896" s="27">
        <f t="shared" si="137"/>
        <v>31921.67</v>
      </c>
      <c r="I896" s="27">
        <f t="shared" si="137"/>
        <v>31921.67</v>
      </c>
      <c r="J896" s="27">
        <f t="shared" si="137"/>
        <v>31921.67</v>
      </c>
      <c r="K896" s="27">
        <f t="shared" si="137"/>
        <v>31911.269999999997</v>
      </c>
      <c r="L896" s="27">
        <f t="shared" si="137"/>
        <v>31911.25</v>
      </c>
      <c r="M896" s="27">
        <f t="shared" si="137"/>
        <v>31911.25</v>
      </c>
      <c r="N896" s="27">
        <f t="shared" si="137"/>
        <v>31911.25</v>
      </c>
      <c r="O896" s="40">
        <f t="shared" si="137"/>
        <v>31911.25</v>
      </c>
      <c r="P896" s="27">
        <f t="shared" si="137"/>
        <v>383257.98</v>
      </c>
    </row>
    <row r="897" ht="13.5" customHeight="1">
      <c r="C897" s="12"/>
    </row>
    <row r="898" spans="2:3" ht="13.5" customHeight="1">
      <c r="B898" s="42" t="s">
        <v>105</v>
      </c>
      <c r="C898" s="30" t="s">
        <v>271</v>
      </c>
    </row>
    <row r="899" ht="13.5" customHeight="1">
      <c r="C899" s="4" t="s">
        <v>3</v>
      </c>
    </row>
    <row r="900" ht="13.5" customHeight="1">
      <c r="C900" s="4" t="s">
        <v>4</v>
      </c>
    </row>
    <row r="901" ht="13.5" customHeight="1" thickBot="1">
      <c r="C901" s="4" t="s">
        <v>5</v>
      </c>
    </row>
    <row r="902" ht="13.5" customHeight="1" thickBot="1">
      <c r="C902" s="6" t="s">
        <v>272</v>
      </c>
    </row>
    <row r="903" ht="13.5" customHeight="1">
      <c r="C903" s="12"/>
    </row>
    <row r="904" spans="1:3" ht="13.5" customHeight="1">
      <c r="A904" s="1">
        <f>A892+1</f>
        <v>72</v>
      </c>
      <c r="B904" s="21"/>
      <c r="C904" s="5" t="s">
        <v>273</v>
      </c>
    </row>
    <row r="905" spans="3:16" ht="13.5" customHeight="1">
      <c r="C905" s="4" t="s">
        <v>3</v>
      </c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39">
        <v>0</v>
      </c>
      <c r="P905" s="26">
        <f>SUM(D905:O905)</f>
        <v>0</v>
      </c>
    </row>
    <row r="906" spans="3:16" ht="13.5" customHeight="1">
      <c r="C906" s="4" t="s">
        <v>4</v>
      </c>
      <c r="D906" s="47">
        <v>250</v>
      </c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55"/>
      <c r="P906" s="26">
        <f>SUM(D906:O906)</f>
        <v>250</v>
      </c>
    </row>
    <row r="907" spans="3:16" ht="13.5" customHeight="1" thickBot="1">
      <c r="C907" s="4" t="s">
        <v>5</v>
      </c>
      <c r="D907" s="26">
        <f aca="true" t="shared" si="138" ref="D907:J907">17916.67+56250</f>
        <v>74166.67</v>
      </c>
      <c r="E907" s="26">
        <f t="shared" si="138"/>
        <v>74166.67</v>
      </c>
      <c r="F907" s="26">
        <f t="shared" si="138"/>
        <v>74166.67</v>
      </c>
      <c r="G907" s="26">
        <f t="shared" si="138"/>
        <v>74166.67</v>
      </c>
      <c r="H907" s="26">
        <f t="shared" si="138"/>
        <v>74166.67</v>
      </c>
      <c r="I907" s="26">
        <f t="shared" si="138"/>
        <v>74166.67</v>
      </c>
      <c r="J907" s="26">
        <f t="shared" si="138"/>
        <v>74166.67</v>
      </c>
      <c r="K907" s="26">
        <f>17916.63+56250</f>
        <v>74166.63</v>
      </c>
      <c r="L907" s="47">
        <f>18750+55354.17</f>
        <v>74104.17</v>
      </c>
      <c r="M907" s="47">
        <f>18750+55354.17</f>
        <v>74104.17</v>
      </c>
      <c r="N907" s="47">
        <f>18750+55354.17</f>
        <v>74104.17</v>
      </c>
      <c r="O907" s="55">
        <f>18750+55354.17</f>
        <v>74104.17</v>
      </c>
      <c r="P907" s="26">
        <f>SUM(D907:O907)</f>
        <v>889750.0000000001</v>
      </c>
    </row>
    <row r="908" spans="3:16" ht="13.5" customHeight="1" thickBot="1">
      <c r="C908" s="6" t="s">
        <v>183</v>
      </c>
      <c r="D908" s="27">
        <f aca="true" t="shared" si="139" ref="D908:P908">SUM(D905:D907)</f>
        <v>74416.67</v>
      </c>
      <c r="E908" s="27">
        <f t="shared" si="139"/>
        <v>74166.67</v>
      </c>
      <c r="F908" s="27">
        <f t="shared" si="139"/>
        <v>74166.67</v>
      </c>
      <c r="G908" s="27">
        <f t="shared" si="139"/>
        <v>74166.67</v>
      </c>
      <c r="H908" s="27">
        <f t="shared" si="139"/>
        <v>74166.67</v>
      </c>
      <c r="I908" s="27">
        <f t="shared" si="139"/>
        <v>74166.67</v>
      </c>
      <c r="J908" s="27">
        <f t="shared" si="139"/>
        <v>74166.67</v>
      </c>
      <c r="K908" s="27">
        <f t="shared" si="139"/>
        <v>74166.63</v>
      </c>
      <c r="L908" s="27">
        <f t="shared" si="139"/>
        <v>74104.17</v>
      </c>
      <c r="M908" s="27">
        <f t="shared" si="139"/>
        <v>74104.17</v>
      </c>
      <c r="N908" s="27">
        <f t="shared" si="139"/>
        <v>74104.17</v>
      </c>
      <c r="O908" s="40">
        <f t="shared" si="139"/>
        <v>74104.17</v>
      </c>
      <c r="P908" s="27">
        <f t="shared" si="139"/>
        <v>890000.0000000001</v>
      </c>
    </row>
    <row r="909" ht="13.5" customHeight="1">
      <c r="C909" s="12"/>
    </row>
    <row r="910" spans="1:3" ht="13.5" customHeight="1">
      <c r="A910" s="1">
        <f>A904+1</f>
        <v>73</v>
      </c>
      <c r="B910" s="21"/>
      <c r="C910" s="5" t="s">
        <v>275</v>
      </c>
    </row>
    <row r="911" spans="3:16" ht="13.5" customHeight="1">
      <c r="C911" s="4" t="s">
        <v>3</v>
      </c>
      <c r="D911" s="26">
        <v>1060.42</v>
      </c>
      <c r="E911" s="26">
        <v>1060.42</v>
      </c>
      <c r="F911" s="26">
        <v>1060.42</v>
      </c>
      <c r="G911" s="26">
        <v>1060.42</v>
      </c>
      <c r="H911" s="26">
        <v>1060.42</v>
      </c>
      <c r="I911" s="26">
        <v>1060.42</v>
      </c>
      <c r="J911" s="26">
        <v>1060.42</v>
      </c>
      <c r="K911" s="47">
        <v>1050</v>
      </c>
      <c r="L911" s="47">
        <v>1050</v>
      </c>
      <c r="M911" s="47">
        <v>1050</v>
      </c>
      <c r="N911" s="47">
        <v>1050</v>
      </c>
      <c r="O911" s="55">
        <v>1028.75</v>
      </c>
      <c r="P911" s="26">
        <f>SUM(D911:O911)</f>
        <v>12651.69</v>
      </c>
    </row>
    <row r="912" spans="3:16" ht="13.5" customHeight="1">
      <c r="C912" s="4" t="s">
        <v>4</v>
      </c>
      <c r="D912" s="47">
        <v>250</v>
      </c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55"/>
      <c r="P912" s="26">
        <f>SUM(D912:O912)</f>
        <v>250</v>
      </c>
    </row>
    <row r="913" spans="3:16" ht="13.5" customHeight="1" thickBot="1">
      <c r="C913" s="4" t="s">
        <v>5</v>
      </c>
      <c r="D913" s="26">
        <f>31666.67+42721.88</f>
        <v>74388.54999999999</v>
      </c>
      <c r="E913" s="26">
        <f>31666.67+42721.88</f>
        <v>74388.54999999999</v>
      </c>
      <c r="F913" s="26">
        <f>31666.67+42721.88</f>
        <v>74388.54999999999</v>
      </c>
      <c r="G913" s="26">
        <f>31666.63+42721.85</f>
        <v>74388.48</v>
      </c>
      <c r="H913" s="47">
        <f>32916.67+41455.21</f>
        <v>74371.88</v>
      </c>
      <c r="I913" s="47">
        <f aca="true" t="shared" si="140" ref="I913:P913">32916.67+41455.21</f>
        <v>74371.88</v>
      </c>
      <c r="J913" s="47">
        <f t="shared" si="140"/>
        <v>74371.88</v>
      </c>
      <c r="K913" s="47">
        <f t="shared" si="140"/>
        <v>74371.88</v>
      </c>
      <c r="L913" s="47">
        <f t="shared" si="140"/>
        <v>74371.88</v>
      </c>
      <c r="M913" s="47">
        <f>32916.67+41455.2</f>
        <v>74371.87</v>
      </c>
      <c r="N913" s="47">
        <f t="shared" si="140"/>
        <v>74371.88</v>
      </c>
      <c r="O913" s="55">
        <f t="shared" si="140"/>
        <v>74371.88</v>
      </c>
      <c r="P913" s="26">
        <f>SUM(D913:O913)</f>
        <v>892529.1599999999</v>
      </c>
    </row>
    <row r="914" spans="3:16" ht="13.5" customHeight="1" thickBot="1">
      <c r="C914" s="6" t="s">
        <v>118</v>
      </c>
      <c r="D914" s="27">
        <f aca="true" t="shared" si="141" ref="D914:P914">SUM(D911:D913)</f>
        <v>75698.96999999999</v>
      </c>
      <c r="E914" s="27">
        <f t="shared" si="141"/>
        <v>75448.96999999999</v>
      </c>
      <c r="F914" s="27">
        <f t="shared" si="141"/>
        <v>75448.96999999999</v>
      </c>
      <c r="G914" s="27">
        <f t="shared" si="141"/>
        <v>75448.9</v>
      </c>
      <c r="H914" s="27">
        <f t="shared" si="141"/>
        <v>75432.3</v>
      </c>
      <c r="I914" s="27">
        <f t="shared" si="141"/>
        <v>75432.3</v>
      </c>
      <c r="J914" s="27">
        <f t="shared" si="141"/>
        <v>75432.3</v>
      </c>
      <c r="K914" s="27">
        <f t="shared" si="141"/>
        <v>75421.88</v>
      </c>
      <c r="L914" s="27">
        <f t="shared" si="141"/>
        <v>75421.88</v>
      </c>
      <c r="M914" s="27">
        <f t="shared" si="141"/>
        <v>75421.87</v>
      </c>
      <c r="N914" s="27">
        <f t="shared" si="141"/>
        <v>75421.88</v>
      </c>
      <c r="O914" s="40">
        <f t="shared" si="141"/>
        <v>75400.63</v>
      </c>
      <c r="P914" s="27">
        <f t="shared" si="141"/>
        <v>905430.8499999999</v>
      </c>
    </row>
    <row r="915" ht="13.5" customHeight="1">
      <c r="C915" s="12"/>
    </row>
    <row r="916" spans="1:3" ht="13.5" customHeight="1">
      <c r="A916" s="1">
        <f>A910+1</f>
        <v>74</v>
      </c>
      <c r="B916" s="21"/>
      <c r="C916" s="5" t="s">
        <v>276</v>
      </c>
    </row>
    <row r="917" spans="3:16" ht="13.5" customHeight="1">
      <c r="C917" s="4" t="s">
        <v>3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26">
        <v>0</v>
      </c>
      <c r="O917" s="39">
        <v>0</v>
      </c>
      <c r="P917" s="26">
        <f>SUM(D917:O917)</f>
        <v>0</v>
      </c>
    </row>
    <row r="918" spans="3:16" ht="13.5" customHeight="1">
      <c r="C918" s="4" t="s">
        <v>4</v>
      </c>
      <c r="D918" s="47">
        <v>250</v>
      </c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55"/>
      <c r="P918" s="26">
        <f>SUM(D918:O918)</f>
        <v>250</v>
      </c>
    </row>
    <row r="919" spans="3:16" ht="13.5" customHeight="1" thickBot="1">
      <c r="C919" s="4" t="s">
        <v>5</v>
      </c>
      <c r="D919" s="47">
        <f>15900+56783.38</f>
        <v>72683.38</v>
      </c>
      <c r="E919" s="47">
        <f>15900+56710.5</f>
        <v>72610.5</v>
      </c>
      <c r="F919" s="47">
        <f>15900+56637.63</f>
        <v>72537.63</v>
      </c>
      <c r="G919" s="47">
        <f>15900+56564.75</f>
        <v>72464.75</v>
      </c>
      <c r="H919" s="47">
        <f>15900+56491.88</f>
        <v>72391.88</v>
      </c>
      <c r="I919" s="47">
        <f>15900+56419</f>
        <v>72319</v>
      </c>
      <c r="J919" s="47">
        <f>15900+56346.13</f>
        <v>72246.13</v>
      </c>
      <c r="K919" s="47">
        <f>15900+56273.25</f>
        <v>72173.25</v>
      </c>
      <c r="L919" s="47">
        <f>15900+56200.38</f>
        <v>72100.38</v>
      </c>
      <c r="M919" s="47">
        <f>15900+56127.5</f>
        <v>72027.5</v>
      </c>
      <c r="N919" s="47">
        <f>16800+56054.63</f>
        <v>72854.63</v>
      </c>
      <c r="O919" s="55">
        <f>16800+55977.63</f>
        <v>72777.63</v>
      </c>
      <c r="P919" s="26">
        <f>SUM(D919:O919)</f>
        <v>869186.66</v>
      </c>
    </row>
    <row r="920" spans="3:16" ht="13.5" customHeight="1" thickBot="1">
      <c r="C920" s="6" t="s">
        <v>277</v>
      </c>
      <c r="D920" s="27">
        <f aca="true" t="shared" si="142" ref="D920:P920">SUM(D917:D919)</f>
        <v>72933.38</v>
      </c>
      <c r="E920" s="27">
        <f t="shared" si="142"/>
        <v>72610.5</v>
      </c>
      <c r="F920" s="27">
        <f t="shared" si="142"/>
        <v>72537.63</v>
      </c>
      <c r="G920" s="27">
        <f t="shared" si="142"/>
        <v>72464.75</v>
      </c>
      <c r="H920" s="27">
        <f t="shared" si="142"/>
        <v>72391.88</v>
      </c>
      <c r="I920" s="27">
        <f t="shared" si="142"/>
        <v>72319</v>
      </c>
      <c r="J920" s="27">
        <f t="shared" si="142"/>
        <v>72246.13</v>
      </c>
      <c r="K920" s="27">
        <f t="shared" si="142"/>
        <v>72173.25</v>
      </c>
      <c r="L920" s="27">
        <f t="shared" si="142"/>
        <v>72100.38</v>
      </c>
      <c r="M920" s="27">
        <f t="shared" si="142"/>
        <v>72027.5</v>
      </c>
      <c r="N920" s="27">
        <f t="shared" si="142"/>
        <v>72854.63</v>
      </c>
      <c r="O920" s="40">
        <f t="shared" si="142"/>
        <v>72777.63</v>
      </c>
      <c r="P920" s="27">
        <f t="shared" si="142"/>
        <v>869436.66</v>
      </c>
    </row>
    <row r="921" ht="13.5" customHeight="1">
      <c r="C921" s="12"/>
    </row>
    <row r="922" spans="1:3" ht="13.5" customHeight="1">
      <c r="A922" s="1">
        <f>A916+1</f>
        <v>75</v>
      </c>
      <c r="B922" s="21"/>
      <c r="C922" s="5" t="s">
        <v>278</v>
      </c>
    </row>
    <row r="923" spans="3:16" ht="13.5" customHeight="1">
      <c r="C923" s="4" t="s">
        <v>3</v>
      </c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39">
        <v>0</v>
      </c>
      <c r="P923" s="26">
        <f>SUM(D923:O923)</f>
        <v>0</v>
      </c>
    </row>
    <row r="924" spans="3:16" ht="13.5" customHeight="1">
      <c r="C924" s="4" t="s">
        <v>4</v>
      </c>
      <c r="D924" s="47">
        <v>250</v>
      </c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55"/>
      <c r="P924" s="26">
        <f>SUM(D924:O924)</f>
        <v>250</v>
      </c>
    </row>
    <row r="925" spans="3:16" ht="13.5" customHeight="1" thickBot="1">
      <c r="C925" s="4" t="s">
        <v>5</v>
      </c>
      <c r="D925" s="26">
        <v>28000</v>
      </c>
      <c r="E925" s="26">
        <v>28000</v>
      </c>
      <c r="F925" s="26">
        <v>28000</v>
      </c>
      <c r="G925" s="26">
        <v>28000</v>
      </c>
      <c r="H925" s="26">
        <v>28000</v>
      </c>
      <c r="I925" s="26">
        <v>28000</v>
      </c>
      <c r="J925" s="26">
        <v>28000</v>
      </c>
      <c r="K925" s="26">
        <v>28000</v>
      </c>
      <c r="L925" s="26">
        <v>28000</v>
      </c>
      <c r="M925" s="26">
        <v>28000</v>
      </c>
      <c r="N925" s="26">
        <f>24440+28000</f>
        <v>52440</v>
      </c>
      <c r="O925" s="55">
        <f>24430+27931.57</f>
        <v>52361.57</v>
      </c>
      <c r="P925" s="26">
        <f>SUM(D925:O925)</f>
        <v>384801.57</v>
      </c>
    </row>
    <row r="926" spans="3:16" ht="13.5" customHeight="1" thickBot="1">
      <c r="C926" s="6" t="s">
        <v>89</v>
      </c>
      <c r="D926" s="27">
        <f aca="true" t="shared" si="143" ref="D926:P926">SUM(D923:D925)</f>
        <v>28250</v>
      </c>
      <c r="E926" s="27">
        <f t="shared" si="143"/>
        <v>28000</v>
      </c>
      <c r="F926" s="27">
        <f t="shared" si="143"/>
        <v>28000</v>
      </c>
      <c r="G926" s="27">
        <f t="shared" si="143"/>
        <v>28000</v>
      </c>
      <c r="H926" s="27">
        <f t="shared" si="143"/>
        <v>28000</v>
      </c>
      <c r="I926" s="27">
        <f t="shared" si="143"/>
        <v>28000</v>
      </c>
      <c r="J926" s="27">
        <f t="shared" si="143"/>
        <v>28000</v>
      </c>
      <c r="K926" s="27">
        <f t="shared" si="143"/>
        <v>28000</v>
      </c>
      <c r="L926" s="27">
        <f t="shared" si="143"/>
        <v>28000</v>
      </c>
      <c r="M926" s="27">
        <f t="shared" si="143"/>
        <v>28000</v>
      </c>
      <c r="N926" s="27">
        <f t="shared" si="143"/>
        <v>52440</v>
      </c>
      <c r="O926" s="40">
        <f t="shared" si="143"/>
        <v>52361.57</v>
      </c>
      <c r="P926" s="27">
        <f t="shared" si="143"/>
        <v>385051.57</v>
      </c>
    </row>
    <row r="927" ht="13.5" customHeight="1">
      <c r="C927" s="12"/>
    </row>
    <row r="928" spans="1:3" ht="13.5" customHeight="1">
      <c r="A928" s="1">
        <f>A922+1</f>
        <v>76</v>
      </c>
      <c r="B928" s="21"/>
      <c r="C928" s="5" t="s">
        <v>279</v>
      </c>
    </row>
    <row r="929" spans="3:16" ht="13.5" customHeight="1">
      <c r="C929" s="4" t="s">
        <v>3</v>
      </c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39">
        <v>0</v>
      </c>
      <c r="P929" s="26">
        <f>SUM(D929:O929)</f>
        <v>0</v>
      </c>
    </row>
    <row r="930" spans="3:16" ht="13.5" customHeight="1">
      <c r="C930" s="4" t="s">
        <v>4</v>
      </c>
      <c r="D930" s="47">
        <v>250</v>
      </c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55"/>
      <c r="P930" s="26">
        <f>SUM(D930:O930)</f>
        <v>250</v>
      </c>
    </row>
    <row r="931" spans="3:16" ht="13.5" customHeight="1" thickBot="1">
      <c r="C931" s="4" t="s">
        <v>5</v>
      </c>
      <c r="D931" s="26">
        <v>25656.25</v>
      </c>
      <c r="E931" s="26">
        <v>25656.25</v>
      </c>
      <c r="F931" s="26">
        <v>25656.25</v>
      </c>
      <c r="G931" s="26">
        <v>25656.25</v>
      </c>
      <c r="H931" s="26">
        <v>25656.25</v>
      </c>
      <c r="I931" s="47">
        <v>64614.58</v>
      </c>
      <c r="J931" s="47">
        <v>64614.58</v>
      </c>
      <c r="K931" s="47">
        <v>64614.58</v>
      </c>
      <c r="L931" s="47">
        <v>64614.58</v>
      </c>
      <c r="M931" s="47">
        <v>64614.58</v>
      </c>
      <c r="N931" s="47">
        <v>64614.6</v>
      </c>
      <c r="O931" s="55">
        <f>416.67+64614.58</f>
        <v>65031.25</v>
      </c>
      <c r="P931" s="26">
        <f>SUM(D931:O931)</f>
        <v>581000</v>
      </c>
    </row>
    <row r="932" spans="3:16" ht="13.5" customHeight="1" thickBot="1">
      <c r="C932" s="6" t="s">
        <v>280</v>
      </c>
      <c r="D932" s="27">
        <f aca="true" t="shared" si="144" ref="D932:P932">SUM(D929:D931)</f>
        <v>25906.25</v>
      </c>
      <c r="E932" s="27">
        <f t="shared" si="144"/>
        <v>25656.25</v>
      </c>
      <c r="F932" s="27">
        <f t="shared" si="144"/>
        <v>25656.25</v>
      </c>
      <c r="G932" s="27">
        <f t="shared" si="144"/>
        <v>25656.25</v>
      </c>
      <c r="H932" s="27">
        <f t="shared" si="144"/>
        <v>25656.25</v>
      </c>
      <c r="I932" s="27">
        <f t="shared" si="144"/>
        <v>64614.58</v>
      </c>
      <c r="J932" s="27">
        <f t="shared" si="144"/>
        <v>64614.58</v>
      </c>
      <c r="K932" s="27">
        <f t="shared" si="144"/>
        <v>64614.58</v>
      </c>
      <c r="L932" s="27">
        <f t="shared" si="144"/>
        <v>64614.58</v>
      </c>
      <c r="M932" s="27">
        <f t="shared" si="144"/>
        <v>64614.58</v>
      </c>
      <c r="N932" s="27">
        <f t="shared" si="144"/>
        <v>64614.6</v>
      </c>
      <c r="O932" s="40">
        <f t="shared" si="144"/>
        <v>65031.25</v>
      </c>
      <c r="P932" s="27">
        <f t="shared" si="144"/>
        <v>581250</v>
      </c>
    </row>
    <row r="933" ht="13.5" customHeight="1">
      <c r="C933" s="12"/>
    </row>
    <row r="934" spans="1:3" ht="13.5" customHeight="1">
      <c r="A934" s="1">
        <f>A928+1</f>
        <v>77</v>
      </c>
      <c r="B934" s="21"/>
      <c r="C934" s="5" t="s">
        <v>281</v>
      </c>
    </row>
    <row r="935" spans="3:16" ht="13.5" customHeight="1">
      <c r="C935" s="4" t="s">
        <v>3</v>
      </c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39">
        <v>0</v>
      </c>
      <c r="P935" s="26">
        <f>SUM(D935:O935)</f>
        <v>0</v>
      </c>
    </row>
    <row r="936" spans="3:16" ht="13.5" customHeight="1">
      <c r="C936" s="4" t="s">
        <v>4</v>
      </c>
      <c r="D936" s="47">
        <v>250</v>
      </c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55"/>
      <c r="P936" s="26">
        <f>SUM(D936:O936)</f>
        <v>250</v>
      </c>
    </row>
    <row r="937" spans="3:16" ht="13.5" customHeight="1" thickBot="1">
      <c r="C937" s="4" t="s">
        <v>5</v>
      </c>
      <c r="D937" s="47">
        <f>12687.73+16865.14</f>
        <v>29552.87</v>
      </c>
      <c r="E937" s="47">
        <f>12687.73+16827.12</f>
        <v>29514.85</v>
      </c>
      <c r="F937" s="47">
        <f>12687.73+16247.51</f>
        <v>28935.239999999998</v>
      </c>
      <c r="G937" s="47">
        <f>12687.73+16751.08</f>
        <v>29438.81</v>
      </c>
      <c r="H937" s="47">
        <f>12687.73+16173.92</f>
        <v>28861.65</v>
      </c>
      <c r="I937" s="47">
        <f>12687.73+16675.03</f>
        <v>29362.76</v>
      </c>
      <c r="J937" s="47">
        <f>12687.73+16637.01</f>
        <v>29324.739999999998</v>
      </c>
      <c r="K937" s="47">
        <f>12687.73+14992.64</f>
        <v>27680.37</v>
      </c>
      <c r="L937" s="47">
        <f>12687.73+16560.97</f>
        <v>29248.7</v>
      </c>
      <c r="M937" s="47">
        <f>12687.73+15989.95</f>
        <v>28677.68</v>
      </c>
      <c r="N937" s="47">
        <f>12687.75+16484.93</f>
        <v>29172.68</v>
      </c>
      <c r="O937" s="55">
        <f>13098.66+15916.36</f>
        <v>29015.02</v>
      </c>
      <c r="P937" s="26">
        <f>SUM(D937:O937)</f>
        <v>348785.37</v>
      </c>
    </row>
    <row r="938" spans="3:16" ht="13.5" customHeight="1" thickBot="1">
      <c r="C938" s="6" t="s">
        <v>18</v>
      </c>
      <c r="D938" s="27">
        <f aca="true" t="shared" si="145" ref="D938:P938">SUM(D935:D937)</f>
        <v>29802.87</v>
      </c>
      <c r="E938" s="27">
        <f t="shared" si="145"/>
        <v>29514.85</v>
      </c>
      <c r="F938" s="27">
        <f t="shared" si="145"/>
        <v>28935.239999999998</v>
      </c>
      <c r="G938" s="27">
        <f t="shared" si="145"/>
        <v>29438.81</v>
      </c>
      <c r="H938" s="27">
        <f t="shared" si="145"/>
        <v>28861.65</v>
      </c>
      <c r="I938" s="27">
        <f t="shared" si="145"/>
        <v>29362.76</v>
      </c>
      <c r="J938" s="27">
        <f t="shared" si="145"/>
        <v>29324.739999999998</v>
      </c>
      <c r="K938" s="27">
        <f t="shared" si="145"/>
        <v>27680.37</v>
      </c>
      <c r="L938" s="27">
        <f t="shared" si="145"/>
        <v>29248.7</v>
      </c>
      <c r="M938" s="27">
        <f t="shared" si="145"/>
        <v>28677.68</v>
      </c>
      <c r="N938" s="27">
        <f t="shared" si="145"/>
        <v>29172.68</v>
      </c>
      <c r="O938" s="40">
        <f t="shared" si="145"/>
        <v>29015.02</v>
      </c>
      <c r="P938" s="27">
        <f t="shared" si="145"/>
        <v>349035.37</v>
      </c>
    </row>
    <row r="939" ht="13.5" customHeight="1">
      <c r="C939" s="12"/>
    </row>
    <row r="940" spans="1:3" ht="13.5" customHeight="1">
      <c r="A940" s="1">
        <f>A934+1</f>
        <v>78</v>
      </c>
      <c r="B940" s="21"/>
      <c r="C940" s="5" t="s">
        <v>282</v>
      </c>
    </row>
    <row r="941" spans="3:16" ht="13.5" customHeight="1">
      <c r="C941" s="4" t="s">
        <v>3</v>
      </c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6">
        <v>0</v>
      </c>
      <c r="M941" s="26">
        <v>0</v>
      </c>
      <c r="N941" s="26">
        <v>0</v>
      </c>
      <c r="O941" s="39">
        <v>0</v>
      </c>
      <c r="P941" s="26">
        <f>SUM(D941:O941)</f>
        <v>0</v>
      </c>
    </row>
    <row r="942" spans="3:16" ht="13.5" customHeight="1">
      <c r="C942" s="4" t="s">
        <v>4</v>
      </c>
      <c r="D942" s="47">
        <v>250</v>
      </c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55"/>
      <c r="P942" s="26">
        <f>SUM(D942:O942)</f>
        <v>250</v>
      </c>
    </row>
    <row r="943" spans="3:16" ht="13.5" customHeight="1" thickBot="1">
      <c r="C943" s="4" t="s">
        <v>5</v>
      </c>
      <c r="D943" s="47">
        <f>36582.29+5833.33</f>
        <v>42415.62</v>
      </c>
      <c r="E943" s="47">
        <f aca="true" t="shared" si="146" ref="E943:N943">36582.29+5833.33</f>
        <v>42415.62</v>
      </c>
      <c r="F943" s="47">
        <f t="shared" si="146"/>
        <v>42415.62</v>
      </c>
      <c r="G943" s="47">
        <f t="shared" si="146"/>
        <v>42415.62</v>
      </c>
      <c r="H943" s="47">
        <f t="shared" si="146"/>
        <v>42415.62</v>
      </c>
      <c r="I943" s="47">
        <f>36582.3+5833.33</f>
        <v>42415.630000000005</v>
      </c>
      <c r="J943" s="47">
        <f t="shared" si="146"/>
        <v>42415.62</v>
      </c>
      <c r="K943" s="47">
        <f t="shared" si="146"/>
        <v>42415.62</v>
      </c>
      <c r="L943" s="47">
        <f t="shared" si="146"/>
        <v>42415.62</v>
      </c>
      <c r="M943" s="47">
        <f t="shared" si="146"/>
        <v>42415.62</v>
      </c>
      <c r="N943" s="47">
        <f t="shared" si="146"/>
        <v>42415.62</v>
      </c>
      <c r="O943" s="55">
        <f>36582.3+5833.37</f>
        <v>42415.670000000006</v>
      </c>
      <c r="P943" s="26">
        <f>SUM(D943:O943)</f>
        <v>508987.5</v>
      </c>
    </row>
    <row r="944" spans="3:16" ht="13.5" customHeight="1" thickBot="1">
      <c r="C944" s="6" t="s">
        <v>283</v>
      </c>
      <c r="D944" s="27">
        <f aca="true" t="shared" si="147" ref="D944:P944">SUM(D941:D943)</f>
        <v>42665.62</v>
      </c>
      <c r="E944" s="27">
        <f t="shared" si="147"/>
        <v>42415.62</v>
      </c>
      <c r="F944" s="27">
        <f t="shared" si="147"/>
        <v>42415.62</v>
      </c>
      <c r="G944" s="27">
        <f t="shared" si="147"/>
        <v>42415.62</v>
      </c>
      <c r="H944" s="27">
        <f t="shared" si="147"/>
        <v>42415.62</v>
      </c>
      <c r="I944" s="27">
        <f t="shared" si="147"/>
        <v>42415.630000000005</v>
      </c>
      <c r="J944" s="27">
        <f t="shared" si="147"/>
        <v>42415.62</v>
      </c>
      <c r="K944" s="27">
        <f t="shared" si="147"/>
        <v>42415.62</v>
      </c>
      <c r="L944" s="27">
        <f t="shared" si="147"/>
        <v>42415.62</v>
      </c>
      <c r="M944" s="27">
        <f t="shared" si="147"/>
        <v>42415.62</v>
      </c>
      <c r="N944" s="27">
        <f t="shared" si="147"/>
        <v>42415.62</v>
      </c>
      <c r="O944" s="40">
        <f t="shared" si="147"/>
        <v>42415.670000000006</v>
      </c>
      <c r="P944" s="27">
        <f t="shared" si="147"/>
        <v>509237.5</v>
      </c>
    </row>
    <row r="945" ht="13.5" customHeight="1">
      <c r="C945" s="12"/>
    </row>
    <row r="946" spans="1:3" ht="13.5" customHeight="1">
      <c r="A946" s="1">
        <f>A940+1</f>
        <v>79</v>
      </c>
      <c r="B946" s="21"/>
      <c r="C946" s="5" t="s">
        <v>284</v>
      </c>
    </row>
    <row r="947" spans="3:16" ht="13.5" customHeight="1">
      <c r="C947" s="4" t="s">
        <v>3</v>
      </c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6">
        <v>0</v>
      </c>
      <c r="M947" s="26">
        <v>0</v>
      </c>
      <c r="N947" s="26">
        <v>0</v>
      </c>
      <c r="O947" s="39">
        <v>0</v>
      </c>
      <c r="P947" s="26">
        <f>SUM(D947:O947)</f>
        <v>0</v>
      </c>
    </row>
    <row r="948" spans="3:16" ht="13.5" customHeight="1">
      <c r="C948" s="4" t="s">
        <v>4</v>
      </c>
      <c r="D948" s="47">
        <v>250</v>
      </c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55"/>
      <c r="P948" s="26">
        <f>SUM(D948:O948)</f>
        <v>250</v>
      </c>
    </row>
    <row r="949" spans="3:16" ht="13.5" customHeight="1" thickBot="1">
      <c r="C949" s="4" t="s">
        <v>5</v>
      </c>
      <c r="D949" s="26">
        <v>62859.06</v>
      </c>
      <c r="E949" s="26">
        <v>62859.06</v>
      </c>
      <c r="F949" s="26">
        <v>62859.06</v>
      </c>
      <c r="G949" s="26">
        <v>62859.06</v>
      </c>
      <c r="H949" s="26">
        <v>62859.06</v>
      </c>
      <c r="I949" s="26">
        <v>62859.06</v>
      </c>
      <c r="J949" s="26">
        <v>62859.06</v>
      </c>
      <c r="K949" s="26">
        <v>62859.06</v>
      </c>
      <c r="L949" s="26">
        <v>62859.06</v>
      </c>
      <c r="M949" s="26">
        <v>62859.06</v>
      </c>
      <c r="N949" s="26">
        <v>62859.06</v>
      </c>
      <c r="O949" s="39">
        <v>62859.06</v>
      </c>
      <c r="P949" s="26">
        <f>SUM(D949:O949)</f>
        <v>754308.7200000002</v>
      </c>
    </row>
    <row r="950" spans="3:16" ht="13.5" customHeight="1" thickBot="1">
      <c r="C950" s="6" t="s">
        <v>272</v>
      </c>
      <c r="D950" s="27">
        <f aca="true" t="shared" si="148" ref="D950:P950">SUM(D947:D949)</f>
        <v>63109.06</v>
      </c>
      <c r="E950" s="27">
        <f t="shared" si="148"/>
        <v>62859.06</v>
      </c>
      <c r="F950" s="27">
        <f t="shared" si="148"/>
        <v>62859.06</v>
      </c>
      <c r="G950" s="27">
        <f t="shared" si="148"/>
        <v>62859.06</v>
      </c>
      <c r="H950" s="27">
        <f t="shared" si="148"/>
        <v>62859.06</v>
      </c>
      <c r="I950" s="27">
        <f t="shared" si="148"/>
        <v>62859.06</v>
      </c>
      <c r="J950" s="27">
        <f t="shared" si="148"/>
        <v>62859.06</v>
      </c>
      <c r="K950" s="27">
        <f t="shared" si="148"/>
        <v>62859.06</v>
      </c>
      <c r="L950" s="27">
        <f t="shared" si="148"/>
        <v>62859.06</v>
      </c>
      <c r="M950" s="27">
        <f t="shared" si="148"/>
        <v>62859.06</v>
      </c>
      <c r="N950" s="27">
        <f t="shared" si="148"/>
        <v>62859.06</v>
      </c>
      <c r="O950" s="40">
        <f t="shared" si="148"/>
        <v>62859.06</v>
      </c>
      <c r="P950" s="27">
        <f t="shared" si="148"/>
        <v>754558.7200000002</v>
      </c>
    </row>
    <row r="951" ht="13.5" customHeight="1">
      <c r="C951" s="12"/>
    </row>
    <row r="952" spans="1:3" ht="13.5" customHeight="1">
      <c r="A952" s="1">
        <f>A946+1</f>
        <v>80</v>
      </c>
      <c r="B952" s="21"/>
      <c r="C952" s="5" t="s">
        <v>285</v>
      </c>
    </row>
    <row r="953" spans="3:16" ht="13.5" customHeight="1">
      <c r="C953" s="4" t="s">
        <v>3</v>
      </c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39">
        <v>0</v>
      </c>
      <c r="P953" s="26">
        <f>SUM(D953:O953)</f>
        <v>0</v>
      </c>
    </row>
    <row r="954" spans="3:16" ht="13.5" customHeight="1">
      <c r="C954" s="4" t="s">
        <v>4</v>
      </c>
      <c r="D954" s="47">
        <v>250</v>
      </c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55"/>
      <c r="P954" s="26">
        <f>SUM(D954:O954)</f>
        <v>250</v>
      </c>
    </row>
    <row r="955" spans="3:16" ht="13.5" customHeight="1" thickBot="1">
      <c r="C955" s="4" t="s">
        <v>5</v>
      </c>
      <c r="D955" s="47">
        <f>6730.88+13039.16</f>
        <v>19770.04</v>
      </c>
      <c r="E955" s="47">
        <f>6751.16+13018.88</f>
        <v>19770.04</v>
      </c>
      <c r="F955" s="47">
        <f>7190.83+12579.21</f>
        <v>19770.04</v>
      </c>
      <c r="G955" s="47">
        <f>6793.18+12976.86</f>
        <v>19770.04</v>
      </c>
      <c r="H955" s="47">
        <f>7231.61+12538.43</f>
        <v>19770.04</v>
      </c>
      <c r="I955" s="47">
        <f>6835.45+12934.59</f>
        <v>19770.04</v>
      </c>
      <c r="J955" s="47">
        <f>6856.06+12913.98</f>
        <v>19770.04</v>
      </c>
      <c r="K955" s="47">
        <f>8124.46+11645.58</f>
        <v>19770.04</v>
      </c>
      <c r="L955" s="47">
        <f>6901.21+12868.83</f>
        <v>19770.04</v>
      </c>
      <c r="M955" s="47">
        <f>7336.46+12433.58</f>
        <v>19770.04</v>
      </c>
      <c r="N955" s="47">
        <f>6944.11+12825.93</f>
        <v>19770.04</v>
      </c>
      <c r="O955" s="55">
        <f>7378.11+12391.93</f>
        <v>19770.04</v>
      </c>
      <c r="P955" s="26">
        <f>SUM(D955:O955)</f>
        <v>237240.48000000007</v>
      </c>
    </row>
    <row r="956" spans="3:16" ht="13.5" customHeight="1" thickBot="1">
      <c r="C956" s="6" t="s">
        <v>71</v>
      </c>
      <c r="D956" s="27">
        <f aca="true" t="shared" si="149" ref="D956:P956">SUM(D953:D955)</f>
        <v>20020.04</v>
      </c>
      <c r="E956" s="27">
        <f t="shared" si="149"/>
        <v>19770.04</v>
      </c>
      <c r="F956" s="27">
        <f t="shared" si="149"/>
        <v>19770.04</v>
      </c>
      <c r="G956" s="27">
        <f t="shared" si="149"/>
        <v>19770.04</v>
      </c>
      <c r="H956" s="27">
        <f t="shared" si="149"/>
        <v>19770.04</v>
      </c>
      <c r="I956" s="27">
        <f t="shared" si="149"/>
        <v>19770.04</v>
      </c>
      <c r="J956" s="27">
        <f t="shared" si="149"/>
        <v>19770.04</v>
      </c>
      <c r="K956" s="27">
        <f t="shared" si="149"/>
        <v>19770.04</v>
      </c>
      <c r="L956" s="27">
        <f t="shared" si="149"/>
        <v>19770.04</v>
      </c>
      <c r="M956" s="27">
        <f t="shared" si="149"/>
        <v>19770.04</v>
      </c>
      <c r="N956" s="27">
        <f t="shared" si="149"/>
        <v>19770.04</v>
      </c>
      <c r="O956" s="40">
        <f t="shared" si="149"/>
        <v>19770.04</v>
      </c>
      <c r="P956" s="27">
        <f t="shared" si="149"/>
        <v>237490.48000000007</v>
      </c>
    </row>
    <row r="957" ht="13.5" customHeight="1">
      <c r="C957" s="12"/>
    </row>
    <row r="958" spans="1:3" ht="13.5" customHeight="1">
      <c r="A958" s="1">
        <f>A952+1</f>
        <v>81</v>
      </c>
      <c r="B958" s="21"/>
      <c r="C958" s="5" t="s">
        <v>286</v>
      </c>
    </row>
    <row r="959" spans="3:16" ht="13.5" customHeight="1">
      <c r="C959" s="4" t="s">
        <v>3</v>
      </c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6">
        <v>0</v>
      </c>
      <c r="M959" s="26">
        <v>0</v>
      </c>
      <c r="N959" s="26">
        <v>0</v>
      </c>
      <c r="O959" s="39">
        <v>0</v>
      </c>
      <c r="P959" s="26">
        <f>SUM(D959:O959)</f>
        <v>0</v>
      </c>
    </row>
    <row r="960" spans="3:16" ht="13.5" customHeight="1">
      <c r="C960" s="4" t="s">
        <v>4</v>
      </c>
      <c r="D960" s="47">
        <v>250</v>
      </c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55"/>
      <c r="P960" s="26">
        <f>SUM(D960:O960)</f>
        <v>250</v>
      </c>
    </row>
    <row r="961" spans="3:16" ht="13.5" customHeight="1" thickBot="1">
      <c r="C961" s="4" t="s">
        <v>5</v>
      </c>
      <c r="D961" s="26">
        <v>74533.38</v>
      </c>
      <c r="E961" s="26">
        <v>74533.38</v>
      </c>
      <c r="F961" s="26">
        <v>74533.38</v>
      </c>
      <c r="G961" s="26">
        <v>74533.38</v>
      </c>
      <c r="H961" s="26">
        <v>74533.38</v>
      </c>
      <c r="I961" s="26">
        <v>74533.38</v>
      </c>
      <c r="J961" s="26">
        <v>74533.38</v>
      </c>
      <c r="K961" s="26">
        <v>74533.38</v>
      </c>
      <c r="L961" s="47">
        <v>101161.88</v>
      </c>
      <c r="M961" s="47">
        <v>94954.17</v>
      </c>
      <c r="N961" s="47">
        <v>94954.17</v>
      </c>
      <c r="O961" s="55">
        <v>94954.17</v>
      </c>
      <c r="P961" s="26">
        <f>SUM(D961:O961)</f>
        <v>982291.4300000002</v>
      </c>
    </row>
    <row r="962" spans="3:16" ht="13.5" customHeight="1" thickBot="1">
      <c r="C962" s="6" t="s">
        <v>287</v>
      </c>
      <c r="D962" s="27">
        <f aca="true" t="shared" si="150" ref="D962:P962">SUM(D959:D961)</f>
        <v>74783.38</v>
      </c>
      <c r="E962" s="27">
        <f t="shared" si="150"/>
        <v>74533.38</v>
      </c>
      <c r="F962" s="27">
        <f t="shared" si="150"/>
        <v>74533.38</v>
      </c>
      <c r="G962" s="27">
        <f t="shared" si="150"/>
        <v>74533.38</v>
      </c>
      <c r="H962" s="27">
        <f t="shared" si="150"/>
        <v>74533.38</v>
      </c>
      <c r="I962" s="27">
        <f t="shared" si="150"/>
        <v>74533.38</v>
      </c>
      <c r="J962" s="27">
        <f t="shared" si="150"/>
        <v>74533.38</v>
      </c>
      <c r="K962" s="27">
        <f t="shared" si="150"/>
        <v>74533.38</v>
      </c>
      <c r="L962" s="27">
        <f t="shared" si="150"/>
        <v>101161.88</v>
      </c>
      <c r="M962" s="27">
        <f t="shared" si="150"/>
        <v>94954.17</v>
      </c>
      <c r="N962" s="27">
        <f t="shared" si="150"/>
        <v>94954.17</v>
      </c>
      <c r="O962" s="40">
        <f t="shared" si="150"/>
        <v>94954.17</v>
      </c>
      <c r="P962" s="27">
        <f t="shared" si="150"/>
        <v>982541.4300000002</v>
      </c>
    </row>
    <row r="963" ht="13.5" customHeight="1">
      <c r="C963" s="12"/>
    </row>
    <row r="964" spans="1:3" ht="13.5" customHeight="1">
      <c r="A964" s="1">
        <f>A958+1</f>
        <v>82</v>
      </c>
      <c r="B964" s="21"/>
      <c r="C964" s="5" t="s">
        <v>288</v>
      </c>
    </row>
    <row r="965" spans="3:16" ht="13.5" customHeight="1">
      <c r="C965" s="4" t="s">
        <v>3</v>
      </c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6">
        <v>0</v>
      </c>
      <c r="M965" s="26">
        <v>0</v>
      </c>
      <c r="N965" s="26">
        <v>0</v>
      </c>
      <c r="O965" s="39">
        <v>0</v>
      </c>
      <c r="P965" s="26">
        <f>SUM(D965:O965)</f>
        <v>0</v>
      </c>
    </row>
    <row r="966" spans="3:16" ht="13.5" customHeight="1">
      <c r="C966" s="4" t="s">
        <v>4</v>
      </c>
      <c r="D966" s="47">
        <v>250</v>
      </c>
      <c r="P966" s="26">
        <f>SUM(D966:O966)</f>
        <v>250</v>
      </c>
    </row>
    <row r="967" spans="3:16" ht="13.5" customHeight="1" thickBot="1">
      <c r="C967" s="4" t="s">
        <v>5</v>
      </c>
      <c r="D967" s="49">
        <v>20717.15</v>
      </c>
      <c r="E967" s="49">
        <v>23304.65</v>
      </c>
      <c r="F967" s="49">
        <v>25892.15</v>
      </c>
      <c r="G967" s="49">
        <v>28479.65</v>
      </c>
      <c r="H967" s="47">
        <v>29983.86</v>
      </c>
      <c r="I967" s="47">
        <v>30540.2</v>
      </c>
      <c r="J967" s="47">
        <v>31096.54</v>
      </c>
      <c r="K967" s="47">
        <v>37427.88</v>
      </c>
      <c r="L967" s="47">
        <v>53681.8</v>
      </c>
      <c r="M967" s="47">
        <v>54435.3</v>
      </c>
      <c r="N967" s="47">
        <v>54360.96</v>
      </c>
      <c r="O967" s="55">
        <v>54286.62</v>
      </c>
      <c r="P967" s="26">
        <f>SUM(D967:O967)</f>
        <v>444206.76</v>
      </c>
    </row>
    <row r="968" spans="3:16" ht="13.5" customHeight="1" thickBot="1">
      <c r="C968" s="6" t="s">
        <v>289</v>
      </c>
      <c r="D968" s="27">
        <f aca="true" t="shared" si="151" ref="D968:P968">SUM(D965:D967)</f>
        <v>20967.15</v>
      </c>
      <c r="E968" s="27">
        <f t="shared" si="151"/>
        <v>23304.65</v>
      </c>
      <c r="F968" s="27">
        <f t="shared" si="151"/>
        <v>25892.15</v>
      </c>
      <c r="G968" s="27">
        <f t="shared" si="151"/>
        <v>28479.65</v>
      </c>
      <c r="H968" s="27">
        <f t="shared" si="151"/>
        <v>29983.86</v>
      </c>
      <c r="I968" s="27">
        <f t="shared" si="151"/>
        <v>30540.2</v>
      </c>
      <c r="J968" s="27">
        <f t="shared" si="151"/>
        <v>31096.54</v>
      </c>
      <c r="K968" s="27">
        <f t="shared" si="151"/>
        <v>37427.88</v>
      </c>
      <c r="L968" s="27">
        <f t="shared" si="151"/>
        <v>53681.8</v>
      </c>
      <c r="M968" s="27">
        <f t="shared" si="151"/>
        <v>54435.3</v>
      </c>
      <c r="N968" s="27">
        <f t="shared" si="151"/>
        <v>54360.96</v>
      </c>
      <c r="O968" s="40">
        <f t="shared" si="151"/>
        <v>54286.62</v>
      </c>
      <c r="P968" s="27">
        <f t="shared" si="151"/>
        <v>444456.76</v>
      </c>
    </row>
    <row r="969" ht="13.5" customHeight="1">
      <c r="C969" s="12"/>
    </row>
    <row r="970" spans="1:3" ht="13.5" customHeight="1">
      <c r="A970" s="1">
        <f>A964+1</f>
        <v>83</v>
      </c>
      <c r="B970" s="21"/>
      <c r="C970" s="5" t="s">
        <v>290</v>
      </c>
    </row>
    <row r="971" spans="3:16" ht="13.5" customHeight="1">
      <c r="C971" s="4" t="s">
        <v>3</v>
      </c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6">
        <v>0</v>
      </c>
      <c r="M971" s="26">
        <v>0</v>
      </c>
      <c r="N971" s="26">
        <v>0</v>
      </c>
      <c r="O971" s="39">
        <v>0</v>
      </c>
      <c r="P971" s="26">
        <f>SUM(D971:O971)</f>
        <v>0</v>
      </c>
    </row>
    <row r="972" spans="3:16" ht="13.5" customHeight="1">
      <c r="C972" s="4" t="s">
        <v>4</v>
      </c>
      <c r="D972" s="47">
        <v>250</v>
      </c>
      <c r="P972" s="26">
        <f>SUM(D972:O972)</f>
        <v>250</v>
      </c>
    </row>
    <row r="973" spans="3:16" ht="13.5" customHeight="1" thickBot="1">
      <c r="C973" s="4" t="s">
        <v>5</v>
      </c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47">
        <v>104333.33</v>
      </c>
      <c r="J973" s="47">
        <v>104333.33</v>
      </c>
      <c r="K973" s="47">
        <v>104333.33</v>
      </c>
      <c r="L973" s="47">
        <v>104333.33</v>
      </c>
      <c r="M973" s="47">
        <v>104333.33</v>
      </c>
      <c r="N973" s="47">
        <v>104333.35</v>
      </c>
      <c r="O973" s="55">
        <v>58007.81</v>
      </c>
      <c r="P973" s="26">
        <f>SUM(D973:O973)</f>
        <v>684007.81</v>
      </c>
    </row>
    <row r="974" spans="3:16" ht="13.5" customHeight="1" thickBot="1">
      <c r="C974" s="6" t="s">
        <v>107</v>
      </c>
      <c r="D974" s="27">
        <f aca="true" t="shared" si="152" ref="D974:P974">SUM(D971:D973)</f>
        <v>250</v>
      </c>
      <c r="E974" s="27">
        <f t="shared" si="152"/>
        <v>0</v>
      </c>
      <c r="F974" s="27">
        <f t="shared" si="152"/>
        <v>0</v>
      </c>
      <c r="G974" s="27">
        <f t="shared" si="152"/>
        <v>0</v>
      </c>
      <c r="H974" s="27">
        <f t="shared" si="152"/>
        <v>0</v>
      </c>
      <c r="I974" s="27">
        <f t="shared" si="152"/>
        <v>104333.33</v>
      </c>
      <c r="J974" s="27">
        <f t="shared" si="152"/>
        <v>104333.33</v>
      </c>
      <c r="K974" s="27">
        <f t="shared" si="152"/>
        <v>104333.33</v>
      </c>
      <c r="L974" s="27">
        <f t="shared" si="152"/>
        <v>104333.33</v>
      </c>
      <c r="M974" s="27">
        <f t="shared" si="152"/>
        <v>104333.33</v>
      </c>
      <c r="N974" s="27">
        <f t="shared" si="152"/>
        <v>104333.35</v>
      </c>
      <c r="O974" s="40">
        <f t="shared" si="152"/>
        <v>58007.81</v>
      </c>
      <c r="P974" s="27">
        <f t="shared" si="152"/>
        <v>684257.81</v>
      </c>
    </row>
    <row r="975" ht="13.5" customHeight="1">
      <c r="C975" s="12"/>
    </row>
    <row r="976" spans="1:3" ht="13.5" customHeight="1">
      <c r="A976" s="1">
        <f>A970+1</f>
        <v>84</v>
      </c>
      <c r="B976" s="21"/>
      <c r="C976" s="5" t="s">
        <v>291</v>
      </c>
    </row>
    <row r="977" spans="3:16" ht="13.5" customHeight="1">
      <c r="C977" s="4" t="s">
        <v>3</v>
      </c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6">
        <v>0</v>
      </c>
      <c r="M977" s="26">
        <v>0</v>
      </c>
      <c r="N977" s="26">
        <v>0</v>
      </c>
      <c r="O977" s="39">
        <v>0</v>
      </c>
      <c r="P977" s="26">
        <f>SUM(D977:O977)</f>
        <v>0</v>
      </c>
    </row>
    <row r="978" spans="3:16" ht="13.5" customHeight="1">
      <c r="C978" s="4" t="s">
        <v>4</v>
      </c>
      <c r="D978" s="47">
        <v>250</v>
      </c>
      <c r="P978" s="26">
        <f>SUM(D978:O978)</f>
        <v>250</v>
      </c>
    </row>
    <row r="979" spans="3:16" ht="13.5" customHeight="1" thickBot="1">
      <c r="C979" s="4" t="s">
        <v>5</v>
      </c>
      <c r="D979" s="26">
        <v>52580.5</v>
      </c>
      <c r="E979" s="26">
        <v>52580.5</v>
      </c>
      <c r="F979" s="26">
        <v>52580.5</v>
      </c>
      <c r="G979" s="26">
        <v>52580.5</v>
      </c>
      <c r="H979" s="26">
        <v>52580.5</v>
      </c>
      <c r="I979" s="47">
        <v>54595.83</v>
      </c>
      <c r="J979" s="47">
        <v>54595.83</v>
      </c>
      <c r="K979" s="47">
        <v>54595.83</v>
      </c>
      <c r="L979" s="47">
        <v>54595.83</v>
      </c>
      <c r="M979" s="47">
        <v>54595.83</v>
      </c>
      <c r="N979" s="47">
        <v>54595.83</v>
      </c>
      <c r="O979" s="55">
        <v>54595.83</v>
      </c>
      <c r="P979" s="26">
        <f>SUM(D979:O979)</f>
        <v>645073.3099999999</v>
      </c>
    </row>
    <row r="980" spans="3:16" ht="13.5" customHeight="1" thickBot="1">
      <c r="C980" s="6" t="s">
        <v>147</v>
      </c>
      <c r="D980" s="27">
        <f aca="true" t="shared" si="153" ref="D980:P980">SUM(D977:D979)</f>
        <v>52830.5</v>
      </c>
      <c r="E980" s="27">
        <f t="shared" si="153"/>
        <v>52580.5</v>
      </c>
      <c r="F980" s="27">
        <f t="shared" si="153"/>
        <v>52580.5</v>
      </c>
      <c r="G980" s="27">
        <f t="shared" si="153"/>
        <v>52580.5</v>
      </c>
      <c r="H980" s="27">
        <f t="shared" si="153"/>
        <v>52580.5</v>
      </c>
      <c r="I980" s="27">
        <f t="shared" si="153"/>
        <v>54595.83</v>
      </c>
      <c r="J980" s="27">
        <f t="shared" si="153"/>
        <v>54595.83</v>
      </c>
      <c r="K980" s="27">
        <f t="shared" si="153"/>
        <v>54595.83</v>
      </c>
      <c r="L980" s="27">
        <f t="shared" si="153"/>
        <v>54595.83</v>
      </c>
      <c r="M980" s="27">
        <f t="shared" si="153"/>
        <v>54595.83</v>
      </c>
      <c r="N980" s="27">
        <f t="shared" si="153"/>
        <v>54595.83</v>
      </c>
      <c r="O980" s="40">
        <f t="shared" si="153"/>
        <v>54595.83</v>
      </c>
      <c r="P980" s="27">
        <f t="shared" si="153"/>
        <v>645323.3099999999</v>
      </c>
    </row>
    <row r="981" ht="13.5" customHeight="1">
      <c r="C981" s="12"/>
    </row>
    <row r="982" spans="1:3" ht="13.5" customHeight="1">
      <c r="A982" s="1">
        <f>A976+1</f>
        <v>85</v>
      </c>
      <c r="B982" s="21"/>
      <c r="C982" s="5" t="s">
        <v>293</v>
      </c>
    </row>
    <row r="983" spans="3:16" ht="13.5" customHeight="1">
      <c r="C983" s="4" t="s">
        <v>3</v>
      </c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6">
        <v>0</v>
      </c>
      <c r="M983" s="26">
        <v>0</v>
      </c>
      <c r="N983" s="26">
        <v>0</v>
      </c>
      <c r="O983" s="39">
        <v>0</v>
      </c>
      <c r="P983" s="26">
        <f>SUM(D983:O983)</f>
        <v>0</v>
      </c>
    </row>
    <row r="984" spans="3:16" ht="13.5" customHeight="1">
      <c r="C984" s="4" t="s">
        <v>4</v>
      </c>
      <c r="D984" s="47"/>
      <c r="E984" s="47">
        <v>229.17</v>
      </c>
      <c r="P984" s="26">
        <f>SUM(D984:O984)</f>
        <v>229.17</v>
      </c>
    </row>
    <row r="985" spans="3:16" ht="13.5" customHeight="1" thickBot="1">
      <c r="C985" s="4" t="s">
        <v>5</v>
      </c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39">
        <v>0</v>
      </c>
      <c r="P985" s="26">
        <f>SUM(D985:O985)</f>
        <v>0</v>
      </c>
    </row>
    <row r="986" spans="3:16" ht="13.5" customHeight="1" thickBot="1">
      <c r="C986" s="6" t="s">
        <v>294</v>
      </c>
      <c r="D986" s="27">
        <f aca="true" t="shared" si="154" ref="D986:P986">SUM(D983:D985)</f>
        <v>0</v>
      </c>
      <c r="E986" s="27">
        <f t="shared" si="154"/>
        <v>229.17</v>
      </c>
      <c r="F986" s="27">
        <f t="shared" si="154"/>
        <v>0</v>
      </c>
      <c r="G986" s="27">
        <f t="shared" si="154"/>
        <v>0</v>
      </c>
      <c r="H986" s="27">
        <f t="shared" si="154"/>
        <v>0</v>
      </c>
      <c r="I986" s="27">
        <f t="shared" si="154"/>
        <v>0</v>
      </c>
      <c r="J986" s="27">
        <f t="shared" si="154"/>
        <v>0</v>
      </c>
      <c r="K986" s="27">
        <f t="shared" si="154"/>
        <v>0</v>
      </c>
      <c r="L986" s="27">
        <f t="shared" si="154"/>
        <v>0</v>
      </c>
      <c r="M986" s="27">
        <f t="shared" si="154"/>
        <v>0</v>
      </c>
      <c r="N986" s="27">
        <f t="shared" si="154"/>
        <v>0</v>
      </c>
      <c r="O986" s="40">
        <f t="shared" si="154"/>
        <v>0</v>
      </c>
      <c r="P986" s="27">
        <f t="shared" si="154"/>
        <v>229.17</v>
      </c>
    </row>
    <row r="987" ht="13.5" customHeight="1">
      <c r="C987" s="12"/>
    </row>
    <row r="988" spans="1:3" ht="13.5" customHeight="1">
      <c r="A988" s="1">
        <f>A982+1</f>
        <v>86</v>
      </c>
      <c r="B988" s="21"/>
      <c r="C988" s="5" t="s">
        <v>295</v>
      </c>
    </row>
    <row r="989" spans="3:16" ht="13.5" customHeight="1">
      <c r="C989" s="4" t="s">
        <v>3</v>
      </c>
      <c r="D989" s="26">
        <v>0</v>
      </c>
      <c r="E989" s="26">
        <v>3707.27</v>
      </c>
      <c r="F989" s="26">
        <v>3707.27</v>
      </c>
      <c r="G989" s="26">
        <v>3707.27</v>
      </c>
      <c r="H989" s="26">
        <v>3707.27</v>
      </c>
      <c r="I989" s="26">
        <v>3707.27</v>
      </c>
      <c r="J989" s="26">
        <v>3707.27</v>
      </c>
      <c r="K989" s="26">
        <v>3707.27</v>
      </c>
      <c r="L989" s="26">
        <v>3707.27</v>
      </c>
      <c r="M989" s="26">
        <v>3707.27</v>
      </c>
      <c r="N989" s="26">
        <v>3707.27</v>
      </c>
      <c r="O989" s="39">
        <v>3707.27</v>
      </c>
      <c r="P989" s="26">
        <f>SUM(D989:O989)</f>
        <v>40779.969999999994</v>
      </c>
    </row>
    <row r="990" spans="3:16" ht="13.5" customHeight="1">
      <c r="C990" s="4" t="s">
        <v>4</v>
      </c>
      <c r="D990" s="47"/>
      <c r="E990" s="47">
        <v>229.17</v>
      </c>
      <c r="P990" s="26">
        <f>SUM(D990:O990)</f>
        <v>229.17</v>
      </c>
    </row>
    <row r="991" spans="3:16" ht="13.5" customHeight="1" thickBot="1">
      <c r="C991" s="4" t="s">
        <v>5</v>
      </c>
      <c r="D991" s="26">
        <v>0</v>
      </c>
      <c r="E991" s="26">
        <f>48750+170685.99</f>
        <v>219435.99</v>
      </c>
      <c r="F991" s="26">
        <f>48750+170685.99</f>
        <v>219435.99</v>
      </c>
      <c r="G991" s="26">
        <f>48750+170685.99</f>
        <v>219435.99</v>
      </c>
      <c r="H991" s="26">
        <f>48750+170685.99</f>
        <v>219435.99</v>
      </c>
      <c r="I991" s="26">
        <f>31666.67+152325</f>
        <v>183991.66999999998</v>
      </c>
      <c r="J991" s="26">
        <f aca="true" t="shared" si="155" ref="J991:P991">31666.67+152325</f>
        <v>183991.66999999998</v>
      </c>
      <c r="K991" s="26">
        <f t="shared" si="155"/>
        <v>183991.66999999998</v>
      </c>
      <c r="L991" s="26">
        <f t="shared" si="155"/>
        <v>183991.66999999998</v>
      </c>
      <c r="M991" s="26">
        <f t="shared" si="155"/>
        <v>183991.66999999998</v>
      </c>
      <c r="N991" s="26">
        <f t="shared" si="155"/>
        <v>183991.66999999998</v>
      </c>
      <c r="O991" s="39">
        <f t="shared" si="155"/>
        <v>183991.66999999998</v>
      </c>
      <c r="P991" s="26">
        <f>SUM(D991:O991)</f>
        <v>2165685.6499999994</v>
      </c>
    </row>
    <row r="992" spans="3:16" ht="13.5" customHeight="1" thickBot="1">
      <c r="C992" s="6" t="s">
        <v>52</v>
      </c>
      <c r="D992" s="27">
        <f aca="true" t="shared" si="156" ref="D992:P992">SUM(D989:D991)</f>
        <v>0</v>
      </c>
      <c r="E992" s="27">
        <f t="shared" si="156"/>
        <v>223372.43</v>
      </c>
      <c r="F992" s="27">
        <f t="shared" si="156"/>
        <v>223143.25999999998</v>
      </c>
      <c r="G992" s="27">
        <f t="shared" si="156"/>
        <v>223143.25999999998</v>
      </c>
      <c r="H992" s="27">
        <f t="shared" si="156"/>
        <v>223143.25999999998</v>
      </c>
      <c r="I992" s="27">
        <f t="shared" si="156"/>
        <v>187698.93999999997</v>
      </c>
      <c r="J992" s="27">
        <f t="shared" si="156"/>
        <v>187698.93999999997</v>
      </c>
      <c r="K992" s="27">
        <f t="shared" si="156"/>
        <v>187698.93999999997</v>
      </c>
      <c r="L992" s="27">
        <f t="shared" si="156"/>
        <v>187698.93999999997</v>
      </c>
      <c r="M992" s="27">
        <f t="shared" si="156"/>
        <v>187698.93999999997</v>
      </c>
      <c r="N992" s="27">
        <f t="shared" si="156"/>
        <v>187698.93999999997</v>
      </c>
      <c r="O992" s="40">
        <f t="shared" si="156"/>
        <v>187698.93999999997</v>
      </c>
      <c r="P992" s="27">
        <f t="shared" si="156"/>
        <v>2206694.7899999996</v>
      </c>
    </row>
    <row r="993" ht="13.5" customHeight="1">
      <c r="C993" s="12"/>
    </row>
    <row r="994" spans="1:3" ht="13.5" customHeight="1">
      <c r="A994" s="1">
        <f>A988+1</f>
        <v>87</v>
      </c>
      <c r="B994" s="21"/>
      <c r="C994" s="5" t="s">
        <v>296</v>
      </c>
    </row>
    <row r="995" spans="3:16" ht="13.5" customHeight="1">
      <c r="C995" s="4" t="s">
        <v>3</v>
      </c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39">
        <v>0</v>
      </c>
      <c r="P995" s="26">
        <f>SUM(D995:O995)</f>
        <v>0</v>
      </c>
    </row>
    <row r="996" spans="3:16" ht="13.5" customHeight="1">
      <c r="C996" s="4" t="s">
        <v>4</v>
      </c>
      <c r="D996" s="47"/>
      <c r="E996" s="47"/>
      <c r="F996" s="47"/>
      <c r="G996" s="47">
        <v>187.5</v>
      </c>
      <c r="H996" s="47"/>
      <c r="I996" s="47"/>
      <c r="J996" s="47"/>
      <c r="K996" s="47"/>
      <c r="L996" s="47"/>
      <c r="M996" s="47"/>
      <c r="N996" s="47"/>
      <c r="O996" s="55"/>
      <c r="P996" s="26">
        <f>SUM(D996:O996)</f>
        <v>187.5</v>
      </c>
    </row>
    <row r="997" spans="3:16" ht="13.5" customHeight="1" thickBot="1">
      <c r="C997" s="4" t="s">
        <v>5</v>
      </c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6">
        <v>0</v>
      </c>
      <c r="M997" s="26">
        <v>0</v>
      </c>
      <c r="N997" s="26">
        <v>0</v>
      </c>
      <c r="O997" s="39">
        <v>0</v>
      </c>
      <c r="P997" s="26">
        <f>SUM(D997:O997)</f>
        <v>0</v>
      </c>
    </row>
    <row r="998" spans="3:16" ht="13.5" customHeight="1" thickBot="1">
      <c r="C998" s="6" t="s">
        <v>297</v>
      </c>
      <c r="D998" s="27">
        <f aca="true" t="shared" si="157" ref="D998:P998">SUM(D995:D997)</f>
        <v>0</v>
      </c>
      <c r="E998" s="27">
        <f t="shared" si="157"/>
        <v>0</v>
      </c>
      <c r="F998" s="27">
        <f t="shared" si="157"/>
        <v>0</v>
      </c>
      <c r="G998" s="27">
        <f t="shared" si="157"/>
        <v>187.5</v>
      </c>
      <c r="H998" s="27">
        <f t="shared" si="157"/>
        <v>0</v>
      </c>
      <c r="I998" s="27">
        <f t="shared" si="157"/>
        <v>0</v>
      </c>
      <c r="J998" s="27">
        <f t="shared" si="157"/>
        <v>0</v>
      </c>
      <c r="K998" s="27">
        <f t="shared" si="157"/>
        <v>0</v>
      </c>
      <c r="L998" s="27">
        <f t="shared" si="157"/>
        <v>0</v>
      </c>
      <c r="M998" s="27">
        <f t="shared" si="157"/>
        <v>0</v>
      </c>
      <c r="N998" s="27">
        <f t="shared" si="157"/>
        <v>0</v>
      </c>
      <c r="O998" s="40">
        <f t="shared" si="157"/>
        <v>0</v>
      </c>
      <c r="P998" s="27">
        <f t="shared" si="157"/>
        <v>187.5</v>
      </c>
    </row>
    <row r="999" ht="13.5" customHeight="1">
      <c r="C999" s="12"/>
    </row>
    <row r="1000" spans="1:3" ht="13.5" customHeight="1">
      <c r="A1000" s="1">
        <f>A994+1</f>
        <v>88</v>
      </c>
      <c r="B1000" s="21"/>
      <c r="C1000" s="5" t="s">
        <v>298</v>
      </c>
    </row>
    <row r="1001" spans="3:16" ht="13.5" customHeight="1">
      <c r="C1001" s="4" t="s">
        <v>3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39">
        <v>0</v>
      </c>
      <c r="P1001" s="26">
        <f>SUM(D1001:O1001)</f>
        <v>0</v>
      </c>
    </row>
    <row r="1002" spans="3:16" ht="13.5" customHeight="1">
      <c r="C1002" s="4" t="s">
        <v>4</v>
      </c>
      <c r="D1002" s="47"/>
      <c r="E1002" s="47"/>
      <c r="F1002" s="47"/>
      <c r="G1002" s="47"/>
      <c r="H1002" s="47">
        <v>166.67</v>
      </c>
      <c r="I1002" s="47"/>
      <c r="J1002" s="47"/>
      <c r="K1002" s="47"/>
      <c r="L1002" s="47"/>
      <c r="M1002" s="47"/>
      <c r="N1002" s="47"/>
      <c r="O1002" s="55"/>
      <c r="P1002" s="26">
        <f>SUM(D1002:O1002)</f>
        <v>166.67</v>
      </c>
    </row>
    <row r="1003" spans="3:16" ht="13.5" customHeight="1" thickBot="1">
      <c r="C1003" s="4" t="s">
        <v>5</v>
      </c>
      <c r="D1003" s="26">
        <v>0</v>
      </c>
      <c r="E1003" s="26">
        <v>0</v>
      </c>
      <c r="F1003" s="26">
        <v>0</v>
      </c>
      <c r="G1003" s="26">
        <v>0</v>
      </c>
      <c r="H1003" s="26">
        <v>47866.96</v>
      </c>
      <c r="I1003" s="26">
        <v>33395.55</v>
      </c>
      <c r="J1003" s="26">
        <v>33395.55</v>
      </c>
      <c r="K1003" s="26">
        <v>33395.55</v>
      </c>
      <c r="L1003" s="26">
        <v>33395.55</v>
      </c>
      <c r="M1003" s="26">
        <v>33395.55</v>
      </c>
      <c r="N1003" s="26">
        <v>33395.55</v>
      </c>
      <c r="O1003" s="39">
        <v>33395.55</v>
      </c>
      <c r="P1003" s="26">
        <f>SUM(D1003:O1003)</f>
        <v>281635.81</v>
      </c>
    </row>
    <row r="1004" spans="3:16" ht="13.5" customHeight="1" thickBot="1">
      <c r="C1004" s="6" t="s">
        <v>145</v>
      </c>
      <c r="D1004" s="27">
        <f aca="true" t="shared" si="158" ref="D1004:P1004">SUM(D1001:D1003)</f>
        <v>0</v>
      </c>
      <c r="E1004" s="27">
        <f t="shared" si="158"/>
        <v>0</v>
      </c>
      <c r="F1004" s="27">
        <f t="shared" si="158"/>
        <v>0</v>
      </c>
      <c r="G1004" s="27">
        <f t="shared" si="158"/>
        <v>0</v>
      </c>
      <c r="H1004" s="27">
        <f t="shared" si="158"/>
        <v>48033.63</v>
      </c>
      <c r="I1004" s="27">
        <f t="shared" si="158"/>
        <v>33395.55</v>
      </c>
      <c r="J1004" s="27">
        <f t="shared" si="158"/>
        <v>33395.55</v>
      </c>
      <c r="K1004" s="27">
        <f t="shared" si="158"/>
        <v>33395.55</v>
      </c>
      <c r="L1004" s="27">
        <f t="shared" si="158"/>
        <v>33395.55</v>
      </c>
      <c r="M1004" s="27">
        <f t="shared" si="158"/>
        <v>33395.55</v>
      </c>
      <c r="N1004" s="27">
        <f t="shared" si="158"/>
        <v>33395.55</v>
      </c>
      <c r="O1004" s="40">
        <f t="shared" si="158"/>
        <v>33395.55</v>
      </c>
      <c r="P1004" s="27">
        <f t="shared" si="158"/>
        <v>281802.48</v>
      </c>
    </row>
    <row r="1005" spans="3:16" ht="13.5" customHeight="1">
      <c r="C1005" s="12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54"/>
      <c r="P1005" s="46"/>
    </row>
    <row r="1006" spans="1:16" ht="13.5" customHeight="1">
      <c r="A1006" s="1">
        <f>A1000+1</f>
        <v>89</v>
      </c>
      <c r="B1006" s="21"/>
      <c r="C1006" s="5" t="s">
        <v>299</v>
      </c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54"/>
      <c r="P1006" s="46"/>
    </row>
    <row r="1007" spans="3:16" ht="13.5" customHeight="1">
      <c r="C1007" s="4" t="s">
        <v>3</v>
      </c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6">
        <v>0</v>
      </c>
      <c r="M1007" s="26">
        <v>0</v>
      </c>
      <c r="N1007" s="26">
        <v>0</v>
      </c>
      <c r="O1007" s="39">
        <v>0</v>
      </c>
      <c r="P1007" s="26">
        <f>SUM(D1007:O1007)</f>
        <v>0</v>
      </c>
    </row>
    <row r="1008" spans="3:16" ht="13.5" customHeight="1">
      <c r="C1008" s="4" t="s">
        <v>4</v>
      </c>
      <c r="D1008" s="47"/>
      <c r="E1008" s="47"/>
      <c r="F1008" s="47"/>
      <c r="G1008" s="47"/>
      <c r="H1008" s="47">
        <v>166.67</v>
      </c>
      <c r="I1008" s="47"/>
      <c r="J1008" s="47"/>
      <c r="K1008" s="47"/>
      <c r="L1008" s="47"/>
      <c r="M1008" s="47"/>
      <c r="N1008" s="47"/>
      <c r="O1008" s="55"/>
      <c r="P1008" s="26">
        <f>SUM(D1008:O1008)</f>
        <v>166.67</v>
      </c>
    </row>
    <row r="1009" spans="3:16" ht="13.5" customHeight="1" thickBot="1">
      <c r="C1009" s="4" t="s">
        <v>5</v>
      </c>
      <c r="D1009" s="26">
        <v>0</v>
      </c>
      <c r="E1009" s="26">
        <v>0</v>
      </c>
      <c r="F1009" s="26">
        <v>0</v>
      </c>
      <c r="G1009" s="26">
        <v>0</v>
      </c>
      <c r="H1009" s="26">
        <v>33982.84</v>
      </c>
      <c r="I1009" s="26">
        <v>33982.84</v>
      </c>
      <c r="J1009" s="26">
        <v>33982.84</v>
      </c>
      <c r="K1009" s="26">
        <v>33982.84</v>
      </c>
      <c r="L1009" s="26">
        <v>33982.84</v>
      </c>
      <c r="M1009" s="26">
        <v>33982.84</v>
      </c>
      <c r="N1009" s="26">
        <v>33982.84</v>
      </c>
      <c r="O1009" s="39">
        <v>33982.84</v>
      </c>
      <c r="P1009" s="26">
        <f>SUM(D1009:O1009)</f>
        <v>271862.72</v>
      </c>
    </row>
    <row r="1010" spans="3:16" ht="13.5" customHeight="1" thickBot="1">
      <c r="C1010" s="6" t="s">
        <v>300</v>
      </c>
      <c r="D1010" s="27">
        <f aca="true" t="shared" si="159" ref="D1010:P1010">SUM(D1007:D1009)</f>
        <v>0</v>
      </c>
      <c r="E1010" s="27">
        <f t="shared" si="159"/>
        <v>0</v>
      </c>
      <c r="F1010" s="27">
        <f t="shared" si="159"/>
        <v>0</v>
      </c>
      <c r="G1010" s="27">
        <f t="shared" si="159"/>
        <v>0</v>
      </c>
      <c r="H1010" s="27">
        <f t="shared" si="159"/>
        <v>34149.509999999995</v>
      </c>
      <c r="I1010" s="27">
        <f t="shared" si="159"/>
        <v>33982.84</v>
      </c>
      <c r="J1010" s="27">
        <f t="shared" si="159"/>
        <v>33982.84</v>
      </c>
      <c r="K1010" s="27">
        <f t="shared" si="159"/>
        <v>33982.84</v>
      </c>
      <c r="L1010" s="27">
        <f t="shared" si="159"/>
        <v>33982.84</v>
      </c>
      <c r="M1010" s="27">
        <f t="shared" si="159"/>
        <v>33982.84</v>
      </c>
      <c r="N1010" s="27">
        <f t="shared" si="159"/>
        <v>33982.84</v>
      </c>
      <c r="O1010" s="40">
        <f t="shared" si="159"/>
        <v>33982.84</v>
      </c>
      <c r="P1010" s="27">
        <f t="shared" si="159"/>
        <v>272029.38999999996</v>
      </c>
    </row>
    <row r="1011" ht="13.5" customHeight="1">
      <c r="C1011" s="12"/>
    </row>
    <row r="1012" spans="1:3" ht="13.5" customHeight="1">
      <c r="A1012" s="1">
        <f>A1006+1</f>
        <v>90</v>
      </c>
      <c r="B1012" s="21"/>
      <c r="C1012" s="5" t="s">
        <v>301</v>
      </c>
    </row>
    <row r="1013" spans="3:16" ht="13.5" customHeight="1">
      <c r="C1013" s="4" t="s">
        <v>3</v>
      </c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6">
        <v>0</v>
      </c>
      <c r="M1013" s="26">
        <v>0</v>
      </c>
      <c r="N1013" s="26">
        <v>0</v>
      </c>
      <c r="O1013" s="39">
        <v>0</v>
      </c>
      <c r="P1013" s="26">
        <f>SUM(D1013:O1013)</f>
        <v>0</v>
      </c>
    </row>
    <row r="1014" spans="3:16" ht="13.5" customHeight="1">
      <c r="C1014" s="4" t="s">
        <v>4</v>
      </c>
      <c r="D1014" s="47"/>
      <c r="E1014" s="47"/>
      <c r="F1014" s="47"/>
      <c r="G1014" s="47"/>
      <c r="H1014" s="47">
        <v>166.67</v>
      </c>
      <c r="I1014" s="47"/>
      <c r="J1014" s="47"/>
      <c r="K1014" s="47"/>
      <c r="L1014" s="47"/>
      <c r="M1014" s="47"/>
      <c r="N1014" s="47"/>
      <c r="O1014" s="55"/>
      <c r="P1014" s="26">
        <f>SUM(D1014:O1014)</f>
        <v>166.67</v>
      </c>
    </row>
    <row r="1015" spans="3:16" ht="13.5" customHeight="1" thickBot="1">
      <c r="C1015" s="4" t="s">
        <v>5</v>
      </c>
      <c r="D1015" s="26">
        <v>0</v>
      </c>
      <c r="E1015" s="26">
        <v>0</v>
      </c>
      <c r="F1015" s="26">
        <v>0</v>
      </c>
      <c r="G1015" s="26">
        <v>0</v>
      </c>
      <c r="H1015" s="26">
        <v>52980.58</v>
      </c>
      <c r="I1015" s="26">
        <v>85663.59</v>
      </c>
      <c r="J1015" s="26">
        <v>85557.25</v>
      </c>
      <c r="K1015" s="26">
        <v>85557.25</v>
      </c>
      <c r="L1015" s="26">
        <f>31666.67+79750</f>
        <v>111416.67</v>
      </c>
      <c r="M1015" s="26">
        <f>31666.67+79750</f>
        <v>111416.67</v>
      </c>
      <c r="N1015" s="26">
        <f>31666.66+79750.01</f>
        <v>111416.67</v>
      </c>
      <c r="O1015" s="39">
        <f>31666.67+79405.63</f>
        <v>111072.3</v>
      </c>
      <c r="P1015" s="26">
        <f>SUM(D1015:O1015)</f>
        <v>755080.9800000001</v>
      </c>
    </row>
    <row r="1016" spans="3:16" ht="13.5" customHeight="1" thickBot="1">
      <c r="C1016" s="6" t="s">
        <v>143</v>
      </c>
      <c r="D1016" s="27">
        <f aca="true" t="shared" si="160" ref="D1016:P1016">SUM(D1013:D1015)</f>
        <v>0</v>
      </c>
      <c r="E1016" s="27">
        <f t="shared" si="160"/>
        <v>0</v>
      </c>
      <c r="F1016" s="27">
        <f t="shared" si="160"/>
        <v>0</v>
      </c>
      <c r="G1016" s="27">
        <f t="shared" si="160"/>
        <v>0</v>
      </c>
      <c r="H1016" s="27">
        <f t="shared" si="160"/>
        <v>53147.25</v>
      </c>
      <c r="I1016" s="27">
        <f t="shared" si="160"/>
        <v>85663.59</v>
      </c>
      <c r="J1016" s="27">
        <f t="shared" si="160"/>
        <v>85557.25</v>
      </c>
      <c r="K1016" s="27">
        <f t="shared" si="160"/>
        <v>85557.25</v>
      </c>
      <c r="L1016" s="27">
        <f t="shared" si="160"/>
        <v>111416.67</v>
      </c>
      <c r="M1016" s="27">
        <f t="shared" si="160"/>
        <v>111416.67</v>
      </c>
      <c r="N1016" s="27">
        <f t="shared" si="160"/>
        <v>111416.67</v>
      </c>
      <c r="O1016" s="40">
        <f t="shared" si="160"/>
        <v>111072.3</v>
      </c>
      <c r="P1016" s="27">
        <f t="shared" si="160"/>
        <v>755247.6500000001</v>
      </c>
    </row>
    <row r="1017" ht="13.5" customHeight="1">
      <c r="C1017" s="12"/>
    </row>
    <row r="1018" spans="1:3" ht="13.5" customHeight="1">
      <c r="A1018" s="1">
        <f>A1012+1</f>
        <v>91</v>
      </c>
      <c r="B1018" s="21"/>
      <c r="C1018" s="5" t="s">
        <v>302</v>
      </c>
    </row>
    <row r="1019" spans="3:16" ht="13.5" customHeight="1">
      <c r="C1019" s="4" t="s">
        <v>3</v>
      </c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L1019" s="26">
        <v>0</v>
      </c>
      <c r="M1019" s="26">
        <v>0</v>
      </c>
      <c r="N1019" s="26">
        <v>0</v>
      </c>
      <c r="O1019" s="39">
        <v>0</v>
      </c>
      <c r="P1019" s="26">
        <f>SUM(D1019:O1019)</f>
        <v>0</v>
      </c>
    </row>
    <row r="1020" spans="3:16" ht="13.5" customHeight="1">
      <c r="C1020" s="4" t="s">
        <v>4</v>
      </c>
      <c r="D1020" s="47"/>
      <c r="E1020" s="47"/>
      <c r="F1020" s="47"/>
      <c r="G1020" s="47"/>
      <c r="H1020" s="47"/>
      <c r="I1020" s="47"/>
      <c r="J1020" s="47">
        <v>125</v>
      </c>
      <c r="K1020" s="47"/>
      <c r="L1020" s="47"/>
      <c r="M1020" s="47"/>
      <c r="N1020" s="47"/>
      <c r="O1020" s="55"/>
      <c r="P1020" s="26">
        <f>SUM(D1020:O1020)</f>
        <v>125</v>
      </c>
    </row>
    <row r="1021" spans="3:16" ht="13.5" customHeight="1" thickBot="1">
      <c r="C1021" s="4" t="s">
        <v>5</v>
      </c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13552.16</v>
      </c>
      <c r="K1021" s="26">
        <v>13552.16</v>
      </c>
      <c r="L1021" s="26">
        <v>13552.16</v>
      </c>
      <c r="M1021" s="26">
        <v>13552.16</v>
      </c>
      <c r="N1021" s="26">
        <v>13552.16</v>
      </c>
      <c r="O1021" s="39">
        <v>13552.14</v>
      </c>
      <c r="P1021" s="26">
        <f>SUM(D1021:O1021)</f>
        <v>81312.94</v>
      </c>
    </row>
    <row r="1022" spans="3:16" ht="13.5" customHeight="1" thickBot="1">
      <c r="C1022" s="6" t="s">
        <v>303</v>
      </c>
      <c r="D1022" s="27">
        <f aca="true" t="shared" si="161" ref="D1022:P1022">SUM(D1019:D1021)</f>
        <v>0</v>
      </c>
      <c r="E1022" s="27">
        <f t="shared" si="161"/>
        <v>0</v>
      </c>
      <c r="F1022" s="27">
        <f t="shared" si="161"/>
        <v>0</v>
      </c>
      <c r="G1022" s="27">
        <f t="shared" si="161"/>
        <v>0</v>
      </c>
      <c r="H1022" s="27">
        <f t="shared" si="161"/>
        <v>0</v>
      </c>
      <c r="I1022" s="27">
        <f t="shared" si="161"/>
        <v>0</v>
      </c>
      <c r="J1022" s="27">
        <f t="shared" si="161"/>
        <v>13677.16</v>
      </c>
      <c r="K1022" s="27">
        <f t="shared" si="161"/>
        <v>13552.16</v>
      </c>
      <c r="L1022" s="27">
        <f t="shared" si="161"/>
        <v>13552.16</v>
      </c>
      <c r="M1022" s="27">
        <f t="shared" si="161"/>
        <v>13552.16</v>
      </c>
      <c r="N1022" s="27">
        <f t="shared" si="161"/>
        <v>13552.16</v>
      </c>
      <c r="O1022" s="40">
        <f t="shared" si="161"/>
        <v>13552.14</v>
      </c>
      <c r="P1022" s="27">
        <f t="shared" si="161"/>
        <v>81437.94</v>
      </c>
    </row>
    <row r="1023" ht="13.5" customHeight="1">
      <c r="C1023" s="12"/>
    </row>
    <row r="1024" spans="1:3" ht="13.5" customHeight="1">
      <c r="A1024" s="1">
        <f>A1018+1</f>
        <v>92</v>
      </c>
      <c r="B1024" s="21"/>
      <c r="C1024" s="5" t="s">
        <v>304</v>
      </c>
    </row>
    <row r="1025" spans="3:16" ht="13.5" customHeight="1">
      <c r="C1025" s="4" t="s">
        <v>3</v>
      </c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26">
        <v>0</v>
      </c>
      <c r="N1025" s="26">
        <v>0</v>
      </c>
      <c r="O1025" s="39">
        <v>0</v>
      </c>
      <c r="P1025" s="26">
        <f>SUM(D1025:O1025)</f>
        <v>0</v>
      </c>
    </row>
    <row r="1026" spans="3:16" ht="13.5" customHeight="1">
      <c r="C1026" s="4" t="s">
        <v>4</v>
      </c>
      <c r="D1026" s="47"/>
      <c r="E1026" s="47"/>
      <c r="F1026" s="47"/>
      <c r="G1026" s="47"/>
      <c r="H1026" s="47"/>
      <c r="I1026" s="47"/>
      <c r="J1026" s="47"/>
      <c r="K1026" s="47">
        <v>104.17</v>
      </c>
      <c r="L1026" s="47"/>
      <c r="M1026" s="47"/>
      <c r="N1026" s="47"/>
      <c r="O1026" s="55"/>
      <c r="P1026" s="26">
        <f>SUM(D1026:O1026)</f>
        <v>104.17</v>
      </c>
    </row>
    <row r="1027" spans="3:16" ht="13.5" customHeight="1" thickBot="1">
      <c r="C1027" s="4" t="s">
        <v>5</v>
      </c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224354.96</v>
      </c>
      <c r="L1027" s="26">
        <v>238315.94</v>
      </c>
      <c r="M1027" s="26">
        <v>233265.01</v>
      </c>
      <c r="N1027" s="26">
        <v>237689.73</v>
      </c>
      <c r="O1027" s="39">
        <v>232658.99</v>
      </c>
      <c r="P1027" s="26">
        <f>SUM(D1027:O1027)</f>
        <v>1166284.63</v>
      </c>
    </row>
    <row r="1028" spans="3:16" ht="13.5" customHeight="1" thickBot="1">
      <c r="C1028" s="6" t="s">
        <v>185</v>
      </c>
      <c r="D1028" s="27">
        <f aca="true" t="shared" si="162" ref="D1028:P1028">SUM(D1025:D1027)</f>
        <v>0</v>
      </c>
      <c r="E1028" s="27">
        <f t="shared" si="162"/>
        <v>0</v>
      </c>
      <c r="F1028" s="27">
        <f t="shared" si="162"/>
        <v>0</v>
      </c>
      <c r="G1028" s="27">
        <f t="shared" si="162"/>
        <v>0</v>
      </c>
      <c r="H1028" s="27">
        <f t="shared" si="162"/>
        <v>0</v>
      </c>
      <c r="I1028" s="27">
        <f t="shared" si="162"/>
        <v>0</v>
      </c>
      <c r="J1028" s="27">
        <f t="shared" si="162"/>
        <v>0</v>
      </c>
      <c r="K1028" s="27">
        <f t="shared" si="162"/>
        <v>224459.13</v>
      </c>
      <c r="L1028" s="27">
        <f t="shared" si="162"/>
        <v>238315.94</v>
      </c>
      <c r="M1028" s="27">
        <f t="shared" si="162"/>
        <v>233265.01</v>
      </c>
      <c r="N1028" s="27">
        <f t="shared" si="162"/>
        <v>237689.73</v>
      </c>
      <c r="O1028" s="40">
        <f t="shared" si="162"/>
        <v>232658.99</v>
      </c>
      <c r="P1028" s="27">
        <f t="shared" si="162"/>
        <v>1166388.7999999998</v>
      </c>
    </row>
    <row r="1029" ht="13.5" customHeight="1">
      <c r="C1029" s="12"/>
    </row>
    <row r="1030" spans="1:3" ht="13.5" customHeight="1">
      <c r="A1030" s="1">
        <f>A1024+1</f>
        <v>93</v>
      </c>
      <c r="B1030" s="21"/>
      <c r="C1030" s="5" t="s">
        <v>305</v>
      </c>
    </row>
    <row r="1031" spans="3:16" ht="13.5" customHeight="1">
      <c r="C1031" s="4" t="s">
        <v>3</v>
      </c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L1031" s="26">
        <v>0</v>
      </c>
      <c r="M1031" s="26">
        <v>0</v>
      </c>
      <c r="N1031" s="26">
        <v>0</v>
      </c>
      <c r="O1031" s="39">
        <v>0</v>
      </c>
      <c r="P1031" s="26">
        <f>SUM(D1031:O1031)</f>
        <v>0</v>
      </c>
    </row>
    <row r="1032" spans="3:16" ht="13.5" customHeight="1">
      <c r="C1032" s="4" t="s">
        <v>4</v>
      </c>
      <c r="D1032" s="47"/>
      <c r="E1032" s="47"/>
      <c r="F1032" s="47"/>
      <c r="G1032" s="47"/>
      <c r="H1032" s="47"/>
      <c r="I1032" s="47"/>
      <c r="J1032" s="47"/>
      <c r="K1032" s="47"/>
      <c r="L1032" s="47"/>
      <c r="M1032" s="47">
        <v>62.5</v>
      </c>
      <c r="N1032" s="47"/>
      <c r="O1032" s="55"/>
      <c r="P1032" s="26">
        <f>SUM(D1032:O1032)</f>
        <v>62.5</v>
      </c>
    </row>
    <row r="1033" spans="3:16" ht="13.5" customHeight="1" thickBot="1">
      <c r="C1033" s="4" t="s">
        <v>5</v>
      </c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L1033" s="26">
        <v>0</v>
      </c>
      <c r="M1033" s="26">
        <v>68085.07</v>
      </c>
      <c r="N1033" s="26">
        <v>68085.07</v>
      </c>
      <c r="O1033" s="39">
        <v>52815.46</v>
      </c>
      <c r="P1033" s="26">
        <f>SUM(D1033:O1033)</f>
        <v>188985.6</v>
      </c>
    </row>
    <row r="1034" spans="3:16" ht="13.5" customHeight="1" thickBot="1">
      <c r="C1034" s="6" t="s">
        <v>246</v>
      </c>
      <c r="D1034" s="27">
        <f aca="true" t="shared" si="163" ref="D1034:P1034">SUM(D1031:D1033)</f>
        <v>0</v>
      </c>
      <c r="E1034" s="27">
        <f t="shared" si="163"/>
        <v>0</v>
      </c>
      <c r="F1034" s="27">
        <f t="shared" si="163"/>
        <v>0</v>
      </c>
      <c r="G1034" s="27">
        <f t="shared" si="163"/>
        <v>0</v>
      </c>
      <c r="H1034" s="27">
        <f t="shared" si="163"/>
        <v>0</v>
      </c>
      <c r="I1034" s="27">
        <f t="shared" si="163"/>
        <v>0</v>
      </c>
      <c r="J1034" s="27">
        <f t="shared" si="163"/>
        <v>0</v>
      </c>
      <c r="K1034" s="27">
        <f t="shared" si="163"/>
        <v>0</v>
      </c>
      <c r="L1034" s="27">
        <f t="shared" si="163"/>
        <v>0</v>
      </c>
      <c r="M1034" s="27">
        <f t="shared" si="163"/>
        <v>68147.57</v>
      </c>
      <c r="N1034" s="27">
        <f t="shared" si="163"/>
        <v>68085.07</v>
      </c>
      <c r="O1034" s="40">
        <f t="shared" si="163"/>
        <v>52815.46</v>
      </c>
      <c r="P1034" s="27">
        <f t="shared" si="163"/>
        <v>189048.1</v>
      </c>
    </row>
    <row r="1035" ht="13.5" customHeight="1">
      <c r="C1035" s="12"/>
    </row>
    <row r="1036" spans="1:3" ht="13.5" customHeight="1">
      <c r="A1036" s="1">
        <f>A1030+1</f>
        <v>94</v>
      </c>
      <c r="B1036" s="21"/>
      <c r="C1036" s="5" t="s">
        <v>310</v>
      </c>
    </row>
    <row r="1037" spans="3:16" ht="13.5" customHeight="1">
      <c r="C1037" s="4" t="s">
        <v>3</v>
      </c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L1037" s="26">
        <v>0</v>
      </c>
      <c r="M1037" s="26">
        <v>0</v>
      </c>
      <c r="N1037" s="26">
        <v>0</v>
      </c>
      <c r="O1037" s="39">
        <v>0</v>
      </c>
      <c r="P1037" s="26">
        <f>SUM(D1037:O1037)</f>
        <v>0</v>
      </c>
    </row>
    <row r="1038" spans="3:16" ht="13.5" customHeight="1">
      <c r="C1038" s="4" t="s">
        <v>4</v>
      </c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>
        <v>41.67</v>
      </c>
      <c r="O1038" s="55"/>
      <c r="P1038" s="26">
        <f>SUM(D1038:O1038)</f>
        <v>41.67</v>
      </c>
    </row>
    <row r="1039" spans="3:16" ht="13.5" customHeight="1" thickBot="1">
      <c r="C1039" s="4" t="s">
        <v>5</v>
      </c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L1039" s="26">
        <v>0</v>
      </c>
      <c r="M1039" s="26">
        <v>0</v>
      </c>
      <c r="N1039" s="26">
        <v>108322.17</v>
      </c>
      <c r="O1039" s="39">
        <v>108322.16</v>
      </c>
      <c r="P1039" s="26">
        <f>SUM(D1039:O1039)</f>
        <v>216644.33000000002</v>
      </c>
    </row>
    <row r="1040" spans="3:16" ht="13.5" customHeight="1" thickBot="1">
      <c r="C1040" s="6" t="s">
        <v>306</v>
      </c>
      <c r="D1040" s="27">
        <f aca="true" t="shared" si="164" ref="D1040:P1040">SUM(D1037:D1039)</f>
        <v>0</v>
      </c>
      <c r="E1040" s="27">
        <f t="shared" si="164"/>
        <v>0</v>
      </c>
      <c r="F1040" s="27">
        <f t="shared" si="164"/>
        <v>0</v>
      </c>
      <c r="G1040" s="27">
        <f t="shared" si="164"/>
        <v>0</v>
      </c>
      <c r="H1040" s="27">
        <f t="shared" si="164"/>
        <v>0</v>
      </c>
      <c r="I1040" s="27">
        <f t="shared" si="164"/>
        <v>0</v>
      </c>
      <c r="J1040" s="27">
        <f t="shared" si="164"/>
        <v>0</v>
      </c>
      <c r="K1040" s="27">
        <f t="shared" si="164"/>
        <v>0</v>
      </c>
      <c r="L1040" s="27">
        <f t="shared" si="164"/>
        <v>0</v>
      </c>
      <c r="M1040" s="27">
        <f t="shared" si="164"/>
        <v>0</v>
      </c>
      <c r="N1040" s="27">
        <f t="shared" si="164"/>
        <v>108363.84</v>
      </c>
      <c r="O1040" s="40">
        <f t="shared" si="164"/>
        <v>108322.16</v>
      </c>
      <c r="P1040" s="27">
        <f t="shared" si="164"/>
        <v>216686.00000000003</v>
      </c>
    </row>
    <row r="1041" ht="13.5" customHeight="1">
      <c r="C1041" s="12"/>
    </row>
    <row r="1042" spans="1:3" ht="13.5" customHeight="1">
      <c r="A1042" s="1">
        <f>A1036+1</f>
        <v>95</v>
      </c>
      <c r="B1042" s="21"/>
      <c r="C1042" s="5" t="s">
        <v>311</v>
      </c>
    </row>
    <row r="1043" spans="3:16" ht="13.5" customHeight="1">
      <c r="C1043" s="4" t="s">
        <v>3</v>
      </c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39">
        <v>0</v>
      </c>
      <c r="P1043" s="26">
        <f>SUM(D1043:O1043)</f>
        <v>0</v>
      </c>
    </row>
    <row r="1044" spans="3:16" ht="13.5" customHeight="1">
      <c r="C1044" s="4" t="s">
        <v>4</v>
      </c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>
        <v>41.67</v>
      </c>
      <c r="O1044" s="55"/>
      <c r="P1044" s="26">
        <f>SUM(D1044:O1044)</f>
        <v>41.67</v>
      </c>
    </row>
    <row r="1045" spans="3:16" ht="13.5" customHeight="1" thickBot="1">
      <c r="C1045" s="4" t="s">
        <v>5</v>
      </c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  <c r="N1045" s="26">
        <v>28242.5</v>
      </c>
      <c r="O1045" s="39">
        <v>28242.5</v>
      </c>
      <c r="P1045" s="26">
        <f>SUM(D1045:O1045)</f>
        <v>56485</v>
      </c>
    </row>
    <row r="1046" spans="3:16" ht="13.5" customHeight="1" thickBot="1">
      <c r="C1046" s="6" t="s">
        <v>307</v>
      </c>
      <c r="D1046" s="27">
        <f aca="true" t="shared" si="165" ref="D1046:P1046">SUM(D1043:D1045)</f>
        <v>0</v>
      </c>
      <c r="E1046" s="27">
        <f t="shared" si="165"/>
        <v>0</v>
      </c>
      <c r="F1046" s="27">
        <f t="shared" si="165"/>
        <v>0</v>
      </c>
      <c r="G1046" s="27">
        <f t="shared" si="165"/>
        <v>0</v>
      </c>
      <c r="H1046" s="27">
        <f t="shared" si="165"/>
        <v>0</v>
      </c>
      <c r="I1046" s="27">
        <f t="shared" si="165"/>
        <v>0</v>
      </c>
      <c r="J1046" s="27">
        <f t="shared" si="165"/>
        <v>0</v>
      </c>
      <c r="K1046" s="27">
        <f t="shared" si="165"/>
        <v>0</v>
      </c>
      <c r="L1046" s="27">
        <f t="shared" si="165"/>
        <v>0</v>
      </c>
      <c r="M1046" s="27">
        <f t="shared" si="165"/>
        <v>0</v>
      </c>
      <c r="N1046" s="27">
        <f t="shared" si="165"/>
        <v>28284.17</v>
      </c>
      <c r="O1046" s="40">
        <f t="shared" si="165"/>
        <v>28242.5</v>
      </c>
      <c r="P1046" s="27">
        <f t="shared" si="165"/>
        <v>56526.67</v>
      </c>
    </row>
    <row r="1047" ht="13.5" customHeight="1">
      <c r="C1047" s="12"/>
    </row>
    <row r="1048" spans="1:3" ht="13.5" customHeight="1">
      <c r="A1048" s="1">
        <f>A1042+1</f>
        <v>96</v>
      </c>
      <c r="B1048" s="21"/>
      <c r="C1048" s="5" t="s">
        <v>312</v>
      </c>
    </row>
    <row r="1049" spans="3:16" ht="13.5" customHeight="1">
      <c r="C1049" s="4" t="s">
        <v>3</v>
      </c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  <c r="N1049" s="26">
        <v>0</v>
      </c>
      <c r="O1049" s="39">
        <v>0</v>
      </c>
      <c r="P1049" s="26">
        <f>SUM(D1049:O1049)</f>
        <v>0</v>
      </c>
    </row>
    <row r="1050" spans="3:16" ht="13.5" customHeight="1">
      <c r="C1050" s="4" t="s">
        <v>4</v>
      </c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>
        <v>41.67</v>
      </c>
      <c r="O1050" s="55"/>
      <c r="P1050" s="26">
        <f>SUM(D1050:O1050)</f>
        <v>41.67</v>
      </c>
    </row>
    <row r="1051" spans="3:16" ht="13.5" customHeight="1" thickBot="1">
      <c r="C1051" s="4" t="s">
        <v>5</v>
      </c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6">
        <v>0</v>
      </c>
      <c r="M1051" s="26">
        <v>0</v>
      </c>
      <c r="N1051" s="26">
        <v>58223</v>
      </c>
      <c r="O1051" s="39">
        <v>58223</v>
      </c>
      <c r="P1051" s="26">
        <f>SUM(D1051:O1051)</f>
        <v>116446</v>
      </c>
    </row>
    <row r="1052" spans="3:16" ht="13.5" customHeight="1" thickBot="1">
      <c r="C1052" s="6" t="s">
        <v>308</v>
      </c>
      <c r="D1052" s="27">
        <f aca="true" t="shared" si="166" ref="D1052:P1052">SUM(D1049:D1051)</f>
        <v>0</v>
      </c>
      <c r="E1052" s="27">
        <f t="shared" si="166"/>
        <v>0</v>
      </c>
      <c r="F1052" s="27">
        <f t="shared" si="166"/>
        <v>0</v>
      </c>
      <c r="G1052" s="27">
        <f t="shared" si="166"/>
        <v>0</v>
      </c>
      <c r="H1052" s="27">
        <f t="shared" si="166"/>
        <v>0</v>
      </c>
      <c r="I1052" s="27">
        <f t="shared" si="166"/>
        <v>0</v>
      </c>
      <c r="J1052" s="27">
        <f t="shared" si="166"/>
        <v>0</v>
      </c>
      <c r="K1052" s="27">
        <f t="shared" si="166"/>
        <v>0</v>
      </c>
      <c r="L1052" s="27">
        <f t="shared" si="166"/>
        <v>0</v>
      </c>
      <c r="M1052" s="27">
        <f t="shared" si="166"/>
        <v>0</v>
      </c>
      <c r="N1052" s="27">
        <f t="shared" si="166"/>
        <v>58264.67</v>
      </c>
      <c r="O1052" s="40">
        <f t="shared" si="166"/>
        <v>58223</v>
      </c>
      <c r="P1052" s="27">
        <f t="shared" si="166"/>
        <v>116487.67</v>
      </c>
    </row>
    <row r="1053" ht="13.5" customHeight="1">
      <c r="C1053" s="12"/>
    </row>
    <row r="1054" spans="1:3" ht="13.5" customHeight="1">
      <c r="A1054" s="1">
        <f>A1048+1</f>
        <v>97</v>
      </c>
      <c r="B1054" s="21"/>
      <c r="C1054" s="5" t="s">
        <v>313</v>
      </c>
    </row>
    <row r="1055" spans="3:16" ht="13.5" customHeight="1">
      <c r="C1055" s="4" t="s">
        <v>3</v>
      </c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  <c r="N1055" s="26">
        <v>0</v>
      </c>
      <c r="O1055" s="39">
        <v>0</v>
      </c>
      <c r="P1055" s="26">
        <f>SUM(D1055:O1055)</f>
        <v>0</v>
      </c>
    </row>
    <row r="1056" spans="3:16" ht="13.5" customHeight="1">
      <c r="C1056" s="4" t="s">
        <v>4</v>
      </c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>
        <v>41.67</v>
      </c>
      <c r="O1056" s="55"/>
      <c r="P1056" s="26">
        <f>SUM(D1056:O1056)</f>
        <v>41.67</v>
      </c>
    </row>
    <row r="1057" spans="3:16" ht="13.5" customHeight="1" thickBot="1">
      <c r="C1057" s="4" t="s">
        <v>5</v>
      </c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  <c r="N1057" s="26">
        <v>117586.57</v>
      </c>
      <c r="O1057" s="39">
        <v>117586.56</v>
      </c>
      <c r="P1057" s="26">
        <f>SUM(D1057:O1057)</f>
        <v>235173.13</v>
      </c>
    </row>
    <row r="1058" spans="3:16" ht="13.5" customHeight="1" thickBot="1">
      <c r="C1058" s="6" t="s">
        <v>308</v>
      </c>
      <c r="D1058" s="27">
        <f aca="true" t="shared" si="167" ref="D1058:P1058">SUM(D1055:D1057)</f>
        <v>0</v>
      </c>
      <c r="E1058" s="27">
        <f t="shared" si="167"/>
        <v>0</v>
      </c>
      <c r="F1058" s="27">
        <f t="shared" si="167"/>
        <v>0</v>
      </c>
      <c r="G1058" s="27">
        <f t="shared" si="167"/>
        <v>0</v>
      </c>
      <c r="H1058" s="27">
        <f t="shared" si="167"/>
        <v>0</v>
      </c>
      <c r="I1058" s="27">
        <f t="shared" si="167"/>
        <v>0</v>
      </c>
      <c r="J1058" s="27">
        <f t="shared" si="167"/>
        <v>0</v>
      </c>
      <c r="K1058" s="27">
        <f t="shared" si="167"/>
        <v>0</v>
      </c>
      <c r="L1058" s="27">
        <f t="shared" si="167"/>
        <v>0</v>
      </c>
      <c r="M1058" s="27">
        <f t="shared" si="167"/>
        <v>0</v>
      </c>
      <c r="N1058" s="27">
        <f t="shared" si="167"/>
        <v>117628.24</v>
      </c>
      <c r="O1058" s="40">
        <f t="shared" si="167"/>
        <v>117586.56</v>
      </c>
      <c r="P1058" s="27">
        <f t="shared" si="167"/>
        <v>235214.80000000002</v>
      </c>
    </row>
    <row r="1059" ht="13.5" customHeight="1">
      <c r="C1059" s="12"/>
    </row>
    <row r="1060" spans="1:3" ht="13.5" customHeight="1">
      <c r="A1060" s="1">
        <f>A1054+1</f>
        <v>98</v>
      </c>
      <c r="B1060" s="21"/>
      <c r="C1060" s="5" t="s">
        <v>314</v>
      </c>
    </row>
    <row r="1061" spans="3:16" ht="13.5" customHeight="1">
      <c r="C1061" s="4" t="s">
        <v>3</v>
      </c>
      <c r="D1061" s="26">
        <v>0</v>
      </c>
      <c r="E1061" s="26">
        <v>0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  <c r="N1061" s="26">
        <v>0</v>
      </c>
      <c r="O1061" s="39">
        <v>0</v>
      </c>
      <c r="P1061" s="26">
        <f>SUM(D1061:O1061)</f>
        <v>0</v>
      </c>
    </row>
    <row r="1062" spans="3:16" ht="13.5" customHeight="1">
      <c r="C1062" s="4" t="s">
        <v>4</v>
      </c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>
        <v>41.67</v>
      </c>
      <c r="O1062" s="55"/>
      <c r="P1062" s="26">
        <f>SUM(D1062:O1062)</f>
        <v>41.67</v>
      </c>
    </row>
    <row r="1063" spans="3:16" ht="13.5" customHeight="1" thickBot="1">
      <c r="C1063" s="4" t="s">
        <v>5</v>
      </c>
      <c r="D1063" s="26">
        <v>0</v>
      </c>
      <c r="E1063" s="26">
        <v>0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  <c r="N1063" s="26">
        <v>71746.82</v>
      </c>
      <c r="O1063" s="39">
        <v>71746.81</v>
      </c>
      <c r="P1063" s="26">
        <f>SUM(D1063:O1063)</f>
        <v>143493.63</v>
      </c>
    </row>
    <row r="1064" spans="3:16" ht="13.5" customHeight="1" thickBot="1">
      <c r="C1064" s="6" t="s">
        <v>309</v>
      </c>
      <c r="D1064" s="27">
        <f aca="true" t="shared" si="168" ref="D1064:P1064">SUM(D1061:D1063)</f>
        <v>0</v>
      </c>
      <c r="E1064" s="27">
        <f t="shared" si="168"/>
        <v>0</v>
      </c>
      <c r="F1064" s="27">
        <f t="shared" si="168"/>
        <v>0</v>
      </c>
      <c r="G1064" s="27">
        <f t="shared" si="168"/>
        <v>0</v>
      </c>
      <c r="H1064" s="27">
        <f t="shared" si="168"/>
        <v>0</v>
      </c>
      <c r="I1064" s="27">
        <f t="shared" si="168"/>
        <v>0</v>
      </c>
      <c r="J1064" s="27">
        <f t="shared" si="168"/>
        <v>0</v>
      </c>
      <c r="K1064" s="27">
        <f t="shared" si="168"/>
        <v>0</v>
      </c>
      <c r="L1064" s="27">
        <f t="shared" si="168"/>
        <v>0</v>
      </c>
      <c r="M1064" s="27">
        <f t="shared" si="168"/>
        <v>0</v>
      </c>
      <c r="N1064" s="27">
        <f t="shared" si="168"/>
        <v>71788.49</v>
      </c>
      <c r="O1064" s="40">
        <f t="shared" si="168"/>
        <v>71746.81</v>
      </c>
      <c r="P1064" s="27">
        <f t="shared" si="168"/>
        <v>143535.30000000002</v>
      </c>
    </row>
    <row r="1065" ht="13.5" customHeight="1">
      <c r="C1065" s="12"/>
    </row>
    <row r="1066" spans="1:3" ht="13.5" customHeight="1">
      <c r="A1066" s="1">
        <f>A1060+1</f>
        <v>99</v>
      </c>
      <c r="B1066" s="21"/>
      <c r="C1066" s="5" t="s">
        <v>315</v>
      </c>
    </row>
    <row r="1067" spans="3:16" ht="13.5" customHeight="1">
      <c r="C1067" s="4" t="s">
        <v>3</v>
      </c>
      <c r="D1067" s="26">
        <v>0</v>
      </c>
      <c r="E1067" s="26">
        <v>0</v>
      </c>
      <c r="F1067" s="26">
        <v>0</v>
      </c>
      <c r="G1067" s="26">
        <v>0</v>
      </c>
      <c r="H1067" s="26">
        <v>0</v>
      </c>
      <c r="I1067" s="26">
        <v>0</v>
      </c>
      <c r="J1067" s="26">
        <v>0</v>
      </c>
      <c r="K1067" s="26">
        <v>0</v>
      </c>
      <c r="L1067" s="26">
        <v>0</v>
      </c>
      <c r="M1067" s="26">
        <v>0</v>
      </c>
      <c r="N1067" s="26">
        <v>0</v>
      </c>
      <c r="O1067" s="39">
        <v>0</v>
      </c>
      <c r="P1067" s="26">
        <f>SUM(D1067:O1067)</f>
        <v>0</v>
      </c>
    </row>
    <row r="1068" spans="3:16" ht="13.5" customHeight="1">
      <c r="C1068" s="4" t="s">
        <v>4</v>
      </c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>
        <v>41.67</v>
      </c>
      <c r="O1068" s="55"/>
      <c r="P1068" s="26">
        <f>SUM(D1068:O1068)</f>
        <v>41.67</v>
      </c>
    </row>
    <row r="1069" spans="3:16" ht="13.5" customHeight="1" thickBot="1">
      <c r="C1069" s="4" t="s">
        <v>5</v>
      </c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  <c r="N1069" s="26">
        <v>100323.42</v>
      </c>
      <c r="O1069" s="39">
        <v>100323.41</v>
      </c>
      <c r="P1069" s="26">
        <f>SUM(D1069:O1069)</f>
        <v>200646.83000000002</v>
      </c>
    </row>
    <row r="1070" spans="3:16" ht="13.5" customHeight="1" thickBot="1">
      <c r="C1070" s="6" t="s">
        <v>309</v>
      </c>
      <c r="D1070" s="27">
        <f aca="true" t="shared" si="169" ref="D1070:P1070">SUM(D1067:D1069)</f>
        <v>0</v>
      </c>
      <c r="E1070" s="27">
        <f t="shared" si="169"/>
        <v>0</v>
      </c>
      <c r="F1070" s="27">
        <f t="shared" si="169"/>
        <v>0</v>
      </c>
      <c r="G1070" s="27">
        <f t="shared" si="169"/>
        <v>0</v>
      </c>
      <c r="H1070" s="27">
        <f t="shared" si="169"/>
        <v>0</v>
      </c>
      <c r="I1070" s="27">
        <f t="shared" si="169"/>
        <v>0</v>
      </c>
      <c r="J1070" s="27">
        <f t="shared" si="169"/>
        <v>0</v>
      </c>
      <c r="K1070" s="27">
        <f t="shared" si="169"/>
        <v>0</v>
      </c>
      <c r="L1070" s="27">
        <f t="shared" si="169"/>
        <v>0</v>
      </c>
      <c r="M1070" s="27">
        <f t="shared" si="169"/>
        <v>0</v>
      </c>
      <c r="N1070" s="27">
        <f t="shared" si="169"/>
        <v>100365.09</v>
      </c>
      <c r="O1070" s="40">
        <f t="shared" si="169"/>
        <v>100323.41</v>
      </c>
      <c r="P1070" s="27">
        <f t="shared" si="169"/>
        <v>200688.50000000003</v>
      </c>
    </row>
    <row r="1071" ht="13.5" customHeight="1">
      <c r="C1071" s="12"/>
    </row>
    <row r="1072" ht="13.5" customHeight="1">
      <c r="C1072" s="12"/>
    </row>
    <row r="1073" ht="13.5" customHeight="1">
      <c r="C1073" s="5" t="s">
        <v>41</v>
      </c>
    </row>
    <row r="1074" spans="3:16" ht="13.5" customHeight="1">
      <c r="C1074" s="4" t="s">
        <v>196</v>
      </c>
      <c r="D1074" s="28">
        <f>SUM(D5,D11,D17,D23,D29,D35,D41,D47,D53,D59,D65,D71,D77,D83,D89,D95,D101,D107,D113,D119,D125,D131,D137,D143,D149,D155,D161,D167,D173,D179)+SUM(D185,D191,D197,D203,D209,D215,D221,D227,D233,D239,D245,D251,D257,D263,D269,D275,D281,D287,D293,D299,D305,D311,D317,D323,D329,D335,D341,D347,D353,D359)+SUM(D365,D371,D377,D383,D389,D395,D401,D407,D413,D419,D425,D431,D437,D443,D449,D455,D461,D467,D473,D479,D485,D491,D497,D503,D509,D515,D521,D527,D533,D539)+SUM(D545,D551,D557,D563,D569,D575,D581,D587,D593,D599,D605,D611,D617,D623,D629,D635,D641,D647,D653,D659,D665,D671,D677,D683,D689)+SUM(D695,D701,D707,D713,D719,D725,D731,D737,D743,D749,D755,D761,D767,D773,D779,D785,D791,D797,D803,D809,D815,D821,D827,D833,D839,D845,D851,D857,D863,D869)+SUM(D875,D881,D887,D893,D899,D905,D911,D917,D923,D929,D935,D941,D947,D953,D959,D965,D971,D977,D983,D989,D995,D1001,D1007,D1013,D1019,D1025,D1031,D1037,D1043,D1049)+SUM(D1055,D1061,D1067)</f>
        <v>30866.350000000002</v>
      </c>
      <c r="E1074" s="28">
        <f aca="true" t="shared" si="170" ref="E1074:O1074">SUM(E5,E11,E17,E23,E29,E35,E41,E47,E53,E59,E65,E71,E77,E83,E89,E95,E101,E107,E113,E119,E125,E131,E137,E143,E149,E155,E161,E167,E173,E179)+SUM(E185,E191,E197,E203,E209,E215,E221,E227,E233,E239,E245,E251,E257,E263,E269,E275,E281,E287,E293,E299,E305,E311,E317,E323,E329,E335,E341,E347,E353,E359)+SUM(E365,E371,E377,E383,E389,E395,E401,E407,E413,E419,E425,E431,E437,E443,E449,E455,E461,E467,E473,E479,E485,E491,E497,E503,E509,E515,E521,E527,E533,E539)+SUM(E545,E551,E557,E563,E569,E575,E581,E587,E593,E599,E605,E611,E617,E623,E629,E635,E641,E647,E653,E659,E665,E671,E677,E683,E689)+SUM(E695,E701,E707,E713,E719,E725,E731,E737,E743,E749,E755,E761,E767,E773,E779,E785,E791,E797,E803,E809,E815,E821,E827,E833,E839,E845,E851,E857,E863,E869)+SUM(E875,E881,E887,E893,E899,E905,E911,E917,E923,E929,E935,E941,E947,E953,E959,E965,E971,E977,E983,E989,E995,E1001,E1007,E1013,E1019,E1025,E1031,E1037,E1043,E1049)+SUM(E1055,E1061,E1067)</f>
        <v>34553.62</v>
      </c>
      <c r="F1074" s="28">
        <f t="shared" si="170"/>
        <v>34553.62</v>
      </c>
      <c r="G1074" s="28">
        <f t="shared" si="170"/>
        <v>34062.79</v>
      </c>
      <c r="H1074" s="28">
        <f t="shared" si="170"/>
        <v>34009.450000000004</v>
      </c>
      <c r="I1074" s="28">
        <f t="shared" si="170"/>
        <v>34003.62</v>
      </c>
      <c r="J1074" s="28">
        <f t="shared" si="170"/>
        <v>33856.14</v>
      </c>
      <c r="K1074" s="28">
        <f t="shared" si="170"/>
        <v>33782.740000000005</v>
      </c>
      <c r="L1074" s="28">
        <f t="shared" si="170"/>
        <v>33652.36</v>
      </c>
      <c r="M1074" s="28">
        <f t="shared" si="170"/>
        <v>32837.740000000005</v>
      </c>
      <c r="N1074" s="28">
        <f t="shared" si="170"/>
        <v>32803.84999999999</v>
      </c>
      <c r="O1074" s="41">
        <f t="shared" si="170"/>
        <v>32793.380000000005</v>
      </c>
      <c r="P1074" s="28">
        <f>SUM(D1074:O1074)</f>
        <v>401775.66</v>
      </c>
    </row>
    <row r="1075" spans="3:16" ht="13.5" customHeight="1">
      <c r="C1075" s="4" t="s">
        <v>197</v>
      </c>
      <c r="D1075" s="28">
        <f>SUM(D6,D12,D18,D24,D30,D36,D42,D48,D54,D60,D66,D72,D78,D84,D90,D96,D102,D108,D114,D120,D126,D132,D138,D144,D150,D156,D162,D168,D174,D180)+SUM(D186,D192,D198,D204,D210,D216,D222,D228,D234,D240,D246,D252,D258,D264,D270,D276,D282,D288,D294,D300,D306,D312,D318,D324,D330,D336,D342,D348,D354,D360)+SUM(D366,D372,D378,D384,D390,D396,D402,D408,,D414,D420,D426,D432,D438,D444,D450,D456,D462,D468,D474,D480,D486,D492,D498,D504,D510,D516,D522,D528,D534)+SUM(D540,D546,D552,D558,D564,D570,D576,D582,D588,D594,D600,D606,D612,D618,D624,D630,D636,D642,D648,D654,D660,D666,D672,D678,D684,D690)+SUM(D696,D702,D708,D714,D720,D726,D732,D738,D744,D750,D756,D762,D768,D774,D780,D786,D792,D798,D804,D810,D816,D822,D828,D834,D840,D846,D852,D858,D864,D870)+SUM(D876,D882,D888,D894,D900,D906,D912,D918,D924,D930,D936,D942,D948,D954,D960,D966,D972,D978,D984,D990,D996,D1002,D1008,D1014,D1020,D1026,D1032,D1038,D1044,D1050)+SUM(D1056,D1062,D1068)</f>
        <v>22750</v>
      </c>
      <c r="E1075" s="28">
        <f aca="true" t="shared" si="171" ref="E1075:O1075">SUM(E6,E12,E18,E24,E30,E36,E42,E48,E54,E60,E66,E72,E78,E84,E90,E96,E102,E108,E114,E120,E126,E132,E138,E144,E150,E156,E162,E168,E174,E180)+SUM(E186,E192,E198,E204,E210,E216,E222,E228,E234,E240,E246,E252,E258,E264,E270,E276,E282,E288,E294,E300,E306,E312,E318,E324,E330,E336,E342,E348,E354,E360)+SUM(E366,E372,E378,E384,E390,E396,E402,E408,,E414,E420,E426,E432,E438,E444,E450,E456,E462,E468,E474,E480,E486,E492,E498,E504,E510,E516,E522,E528,E534)+SUM(E540,E546,E552,E558,E564,E570,E576,E582,E588,E594,E600,E606,E612,E618,E624,E630,E636,E642,E648,E654,E660,E666,E672,E678,E684,E690)+SUM(E696,E702,E708,E714,E720,E726,E732,E738,E744,E750,E756,E762,E768,E774,E780,E786,E792,E798,E804,E810,E816,E822,E828,E834,E840,E846,E852,E858,E864,E870)+SUM(E876,E882,E888,E894,E900,E906,E912,E918,E924,E930,E936,E942,E948,E954,E960,E966,E972,E978,E984,E990,E996,E1002,E1008,E1014,E1020,E1026,E1032,E1038,E1044,E1050)+SUM(E1056,E1062,E1068)</f>
        <v>458.34</v>
      </c>
      <c r="F1075" s="28">
        <f t="shared" si="171"/>
        <v>0</v>
      </c>
      <c r="G1075" s="28">
        <f t="shared" si="171"/>
        <v>187.5</v>
      </c>
      <c r="H1075" s="28">
        <f t="shared" si="171"/>
        <v>500.01</v>
      </c>
      <c r="I1075" s="28">
        <f t="shared" si="171"/>
        <v>0</v>
      </c>
      <c r="J1075" s="28">
        <f t="shared" si="171"/>
        <v>125</v>
      </c>
      <c r="K1075" s="28">
        <f t="shared" si="171"/>
        <v>104.17</v>
      </c>
      <c r="L1075" s="28">
        <f t="shared" si="171"/>
        <v>0</v>
      </c>
      <c r="M1075" s="28">
        <f t="shared" si="171"/>
        <v>62.5</v>
      </c>
      <c r="N1075" s="28">
        <f t="shared" si="171"/>
        <v>250.02</v>
      </c>
      <c r="O1075" s="41">
        <f t="shared" si="171"/>
        <v>0</v>
      </c>
      <c r="P1075" s="28">
        <f>SUM(D1075:O1075)</f>
        <v>24437.539999999997</v>
      </c>
    </row>
    <row r="1076" spans="3:16" ht="13.5" customHeight="1">
      <c r="C1076" s="4" t="s">
        <v>198</v>
      </c>
      <c r="D1076" s="28">
        <f>SUM(D7,D13,D19,D25,D31,D37,D43,D49,D55,D61,D67,D73,D79,D85,D91,D97,D103,D109,D115,D121,D127,D133,D139,D145,D151,D157,D163,D169,D175,D181)+SUM(D187,D193,D199,D205,D211,D217,D223,D229,D235,D241,D247,D253,D259,D265,D271,D277,D283,D289,D295,D301,D307,D313,D319,D325,D331,D337,D343,D349,D355,D361)+SUM(D367,D373,D379,D385,D391,D397,D403,D409,D415,D421,D427,D433,D439,D445,D451,D457,D463,D469,D475,D481,D487,D493,D499,D505,D511,D517,D523,D529,D535,D541)+SUM(D547,D553,D559,D565,D571,D577,D583,D589,D595,D601,D607,D613,D619,D625,D631,D637,D643,D649,D655,D661,D667,D673,D679,D685,D691)+SUM(D697,D703,D709,D715,D721,D727,D733,D739,D745,D751,D757,D763,D769,D775,D781,D787,D793,D799,D805,D811,D817,D823,D829,D835,D841,D847,D853,D859,D865,D871)+SUM(D877,D883,D889,D895,D901,D907,D913,D919,D925,D931,D937,D943,D949,D955,D961,D967,D973,D979,D985,D991,D997,D1003,D1009,D1015,D1021,D1027,D1033,D1039,D1045,D1051)+SUM(D1057,D1063,D1069)</f>
        <v>6041183.239999999</v>
      </c>
      <c r="E1076" s="28">
        <f aca="true" t="shared" si="172" ref="E1076:O1077">SUM(E7,E13,E19,E25,E31,E37,E43,E49,E55,E61,E67,E73,E79,E85,E91,E97,E103,E109,E115,E121,E127,E133,E139,E145,E151,E157,E163,E169,E175,E181)+SUM(E187,E193,E199,E205,E211,E217,E223,E229,E235,E241,E247,E253,E259,E265,E271,E277,E283,E289,E295,E301,E307,E313,E319,E325,E331,E337,E343,E349,E355,E361)+SUM(E367,E373,E379,E385,E391,E397,E403,E409,E415,E421,E427,E433,E439,E445,E451,E457,E463,E469,E475,E481,E487,E493,E499,E505,E511,E517,E523,E529,E535,E541)+SUM(E547,E553,E559,E565,E571,E577,E583,E589,E595,E601,E607,E613,E619,E625,E631,E637,E643,E649,E655,E661,E667,E673,E679,E685,E691)+SUM(E697,E703,E709,E715,E721,E727,E733,E739,E745,E751,E757,E763,E769,E775,E781,E787,E793,E799,E805,E811,E817,E823,E829,E835,E841,E847,E853,E859,E865,E871)+SUM(E877,E883,E889,E895,E901,E907,E913,E919,E925,E931,E937,E943,E949,E955,E961,E967,E973,E979,E985,E991,E997,E1003,E1009,E1015,E1021,E1027,E1033,E1039,E1045,E1051)+SUM(E1057,E1063,E1069)</f>
        <v>6021661.77</v>
      </c>
      <c r="F1076" s="28">
        <f t="shared" si="172"/>
        <v>6033180.119999999</v>
      </c>
      <c r="G1076" s="28">
        <f t="shared" si="172"/>
        <v>5997794.04</v>
      </c>
      <c r="H1076" s="28">
        <f t="shared" si="172"/>
        <v>6023716.93</v>
      </c>
      <c r="I1076" s="28">
        <f t="shared" si="172"/>
        <v>6249558.5</v>
      </c>
      <c r="J1076" s="28">
        <f t="shared" si="172"/>
        <v>6263006.78</v>
      </c>
      <c r="K1076" s="28">
        <f t="shared" si="172"/>
        <v>6491813.539999999</v>
      </c>
      <c r="L1076" s="28">
        <f t="shared" si="172"/>
        <v>6548429.63</v>
      </c>
      <c r="M1076" s="28">
        <f t="shared" si="172"/>
        <v>6536227.79</v>
      </c>
      <c r="N1076" s="28">
        <f t="shared" si="172"/>
        <v>6804899.129999999</v>
      </c>
      <c r="O1076" s="41">
        <f t="shared" si="172"/>
        <v>6738260.87</v>
      </c>
      <c r="P1076" s="28">
        <f>SUM(D1076:O1076)</f>
        <v>75749732.34</v>
      </c>
    </row>
    <row r="1077" spans="3:16" ht="13.5" customHeight="1">
      <c r="C1077" s="22" t="s">
        <v>199</v>
      </c>
      <c r="D1077" s="28">
        <f>SUM(D8,D14,D20,D26,D32,D38,D44,D50,D56,D62,D68,D74,D80,D86,D92,D98,D104,D110,D116,D122,D128,D134,D140,D146,D152,D158,D164,D170,D176,D182)+SUM(D188,D194,D200,D206,D212,D218,D224,D230,D236,D242,D248,D254,D260,D266,D272,D278,D284,D290,D296,D302,D308,D314,D320,D326,D332,D338,D344,D350,D356,D362)+SUM(D368,D374,D380,D386,D392,D398,D404,D410,D416,D422,D428,D434,D440,D446,D452,D458,D464,D470,D476,D482,D488,D494,D500,D506,D512,D518,D524,D530,D536,D542)+SUM(D548,D554,D560,D566,D572,D578,D584,D590,D596,D602,D608,D614,D620,D626,D632,D638,D644,D650,D656,D662,D668,D674,D680,D686,D692)+SUM(D698,D704,D710,D716,D722,D728,D734,D740,D746,D752,D758,D764,D770,D776,D782,D788,D794,D800,D806,D812,D818,D824,D830,D836,D842,D848,D854,D860,D866,D872)+SUM(D878,D884,D890,D896,D902,D908,D914,D920,D926,D932,D938,D944,D950,D956,D962,D968,D974,D980,D986,D992,D998,D1004,D1010,D1016,D1022,D1028,D1034,D1040,D1046,D1052)+SUM(D1058,D1064,D1070)</f>
        <v>6094799.589999999</v>
      </c>
      <c r="E1077" s="28">
        <f t="shared" si="172"/>
        <v>6056673.73</v>
      </c>
      <c r="F1077" s="28">
        <f t="shared" si="172"/>
        <v>6067733.739999998</v>
      </c>
      <c r="G1077" s="28">
        <f t="shared" si="172"/>
        <v>6032044.33</v>
      </c>
      <c r="H1077" s="28">
        <f t="shared" si="172"/>
        <v>6058226.39</v>
      </c>
      <c r="I1077" s="28">
        <f t="shared" si="172"/>
        <v>6283562.119999999</v>
      </c>
      <c r="J1077" s="28">
        <f t="shared" si="172"/>
        <v>6296987.92</v>
      </c>
      <c r="K1077" s="28">
        <f t="shared" si="172"/>
        <v>6525700.449999999</v>
      </c>
      <c r="L1077" s="28">
        <f t="shared" si="172"/>
        <v>6582081.989999999</v>
      </c>
      <c r="M1077" s="28">
        <f t="shared" si="172"/>
        <v>6569128.029999999</v>
      </c>
      <c r="N1077" s="28">
        <f t="shared" si="172"/>
        <v>6837953</v>
      </c>
      <c r="O1077" s="41">
        <f t="shared" si="172"/>
        <v>6771054.25</v>
      </c>
      <c r="P1077" s="28">
        <f>SUM(D1077:O1077)</f>
        <v>76175945.53999999</v>
      </c>
    </row>
    <row r="1078" ht="13.5" customHeight="1">
      <c r="C1078" s="4"/>
    </row>
    <row r="1079" spans="2:3" ht="13.5" customHeight="1">
      <c r="B1079" s="7" t="s">
        <v>104</v>
      </c>
      <c r="C1079" s="23" t="s">
        <v>84</v>
      </c>
    </row>
    <row r="1080" spans="2:3" ht="13.5" customHeight="1">
      <c r="B1080" s="9" t="s">
        <v>105</v>
      </c>
      <c r="C1080" s="24" t="s">
        <v>61</v>
      </c>
    </row>
    <row r="1081" spans="2:3" ht="13.5" customHeight="1">
      <c r="B1081" s="31" t="s">
        <v>103</v>
      </c>
      <c r="C1081" s="34" t="s">
        <v>56</v>
      </c>
    </row>
    <row r="1082" ht="5.25" customHeight="1">
      <c r="C1082" s="4"/>
    </row>
    <row r="1083" ht="5.25" customHeight="1">
      <c r="C1083" s="4"/>
    </row>
    <row r="1084" ht="5.25" customHeight="1">
      <c r="C1084" s="4"/>
    </row>
    <row r="1085" ht="5.25" customHeight="1">
      <c r="C1085" s="4"/>
    </row>
    <row r="1086" ht="5.25" customHeight="1">
      <c r="C1086" s="4"/>
    </row>
    <row r="1087" ht="5.25" customHeight="1">
      <c r="C1087" s="4"/>
    </row>
    <row r="1088" ht="5.25" customHeight="1">
      <c r="C1088" s="4"/>
    </row>
    <row r="1089" ht="5.25" customHeight="1">
      <c r="C1089" s="4"/>
    </row>
    <row r="1090" ht="5.25" customHeight="1">
      <c r="C1090" s="4"/>
    </row>
    <row r="1091" ht="5.25" customHeight="1">
      <c r="C1091" s="4"/>
    </row>
    <row r="1092" spans="3:6" ht="5.25" customHeight="1">
      <c r="C1092" s="4"/>
      <c r="F1092" s="53"/>
    </row>
    <row r="1093" spans="3:6" ht="5.25" customHeight="1">
      <c r="C1093" s="4"/>
      <c r="F1093" s="53"/>
    </row>
    <row r="1094" spans="3:6" ht="5.25" customHeight="1">
      <c r="C1094" s="4"/>
      <c r="F1094" s="53"/>
    </row>
    <row r="1095" ht="5.25" customHeight="1">
      <c r="C1095" s="4"/>
    </row>
    <row r="1096" ht="5.25" customHeight="1">
      <c r="C1096" s="4"/>
    </row>
    <row r="1097" ht="5.25" customHeight="1">
      <c r="C1097" s="4"/>
    </row>
    <row r="1098" ht="5.25" customHeight="1">
      <c r="C1098" s="4"/>
    </row>
    <row r="1099" ht="5.25" customHeight="1">
      <c r="C1099" s="4"/>
    </row>
    <row r="1100" ht="5.25" customHeight="1">
      <c r="C1100" s="4"/>
    </row>
    <row r="1101" ht="5.25" customHeight="1">
      <c r="C1101" s="4"/>
    </row>
    <row r="1102" ht="5.25" customHeight="1">
      <c r="C1102" s="4"/>
    </row>
    <row r="1103" ht="5.25" customHeight="1">
      <c r="C1103" s="4"/>
    </row>
    <row r="1104" ht="5.25" customHeight="1">
      <c r="C1104" s="4"/>
    </row>
    <row r="1105" ht="5.25" customHeight="1">
      <c r="C1105" s="4"/>
    </row>
    <row r="1106" ht="5.25" customHeight="1">
      <c r="C1106" s="4"/>
    </row>
    <row r="1107" ht="5.25" customHeight="1">
      <c r="C1107" s="4"/>
    </row>
    <row r="1108" ht="5.25" customHeight="1">
      <c r="C1108" s="4"/>
    </row>
    <row r="1109" ht="5.25" customHeight="1">
      <c r="C1109" s="4"/>
    </row>
    <row r="1110" ht="5.25" customHeight="1">
      <c r="C1110" s="4"/>
    </row>
    <row r="1111" ht="5.25" customHeight="1">
      <c r="C1111" s="4"/>
    </row>
    <row r="1112" ht="5.25" customHeight="1">
      <c r="C1112" s="4"/>
    </row>
    <row r="1113" ht="5.25" customHeight="1">
      <c r="C1113" s="4"/>
    </row>
    <row r="1114" ht="5.25" customHeight="1">
      <c r="C1114" s="4"/>
    </row>
    <row r="1115" ht="5.25" customHeight="1">
      <c r="C1115" s="4"/>
    </row>
    <row r="1116" ht="5.25" customHeight="1">
      <c r="C1116" s="4"/>
    </row>
    <row r="1117" ht="5.25" customHeight="1">
      <c r="C1117" s="4"/>
    </row>
    <row r="1118" ht="5.25" customHeight="1">
      <c r="C1118" s="4"/>
    </row>
    <row r="1119" ht="5.25" customHeight="1">
      <c r="C1119" s="4"/>
    </row>
    <row r="1120" ht="5.25" customHeight="1">
      <c r="C1120" s="4"/>
    </row>
    <row r="1121" ht="5.25" customHeight="1">
      <c r="C1121" s="4"/>
    </row>
    <row r="1122" ht="5.25" customHeight="1">
      <c r="C1122" s="4"/>
    </row>
    <row r="1123" ht="5.25" customHeight="1">
      <c r="C1123" s="4"/>
    </row>
    <row r="1124" ht="5.25" customHeight="1">
      <c r="C1124" s="4"/>
    </row>
    <row r="1125" ht="5.25" customHeight="1">
      <c r="C1125" s="4"/>
    </row>
    <row r="1126" ht="5.25" customHeight="1">
      <c r="C1126" s="4"/>
    </row>
    <row r="1127" ht="5.25" customHeight="1">
      <c r="C1127" s="4"/>
    </row>
    <row r="1128" ht="5.25" customHeight="1">
      <c r="C1128" s="4"/>
    </row>
    <row r="1129" ht="5.25" customHeight="1">
      <c r="C1129" s="4"/>
    </row>
  </sheetData>
  <sheetProtection/>
  <printOptions horizontalCentered="1"/>
  <pageMargins left="0" right="0" top="0.25" bottom="0.2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Jozwiak, Clare</cp:lastModifiedBy>
  <cp:lastPrinted>2005-05-31T15:38:03Z</cp:lastPrinted>
  <dcterms:created xsi:type="dcterms:W3CDTF">2005-05-31T15:34:27Z</dcterms:created>
  <dcterms:modified xsi:type="dcterms:W3CDTF">2019-06-05T15:08:47Z</dcterms:modified>
  <cp:category/>
  <cp:version/>
  <cp:contentType/>
  <cp:contentStatus/>
</cp:coreProperties>
</file>