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45" windowWidth="15960" windowHeight="12120" tabRatio="692" firstSheet="1" activeTab="1"/>
  </bookViews>
  <sheets>
    <sheet name="Export Summary" sheetId="1" state="hidden" r:id="rId1"/>
    <sheet name="Assumptions" sheetId="2" r:id="rId2"/>
    <sheet name="Calculations - Table 1" sheetId="3" state="hidden" r:id="rId3"/>
    <sheet name="Revenue - Table 1" sheetId="4" r:id="rId4"/>
    <sheet name="Staffing Tool - Table 1" sheetId="5" r:id="rId5"/>
    <sheet name="Non-Salary - Table 1" sheetId="6" r:id="rId6"/>
    <sheet name="Totals - Table 1" sheetId="7" r:id="rId7"/>
    <sheet name="AVERAGE SALARY LOOKUP - Table 1" sheetId="8" state="hidden" r:id="rId8"/>
    <sheet name="INPUT SUMMARY - Table 1" sheetId="9" state="hidden" r:id="rId9"/>
    <sheet name="Budget" sheetId="10" state="hidden" r:id="rId10"/>
    <sheet name="Staffing" sheetId="11" state="hidden" r:id="rId11"/>
  </sheets>
  <definedNames>
    <definedName name="_xlnm.Print_Area" localSheetId="1">Assumptions!$A$1:$K$33</definedName>
  </definedNames>
  <calcPr calcId="125725"/>
</workbook>
</file>

<file path=xl/calcChain.xml><?xml version="1.0" encoding="utf-8"?>
<calcChain xmlns="http://schemas.openxmlformats.org/spreadsheetml/2006/main">
  <c r="F52" i="11"/>
  <c r="G52"/>
  <c r="H52"/>
  <c r="I52"/>
  <c r="E52"/>
  <c r="G12" i="7"/>
  <c r="H12"/>
  <c r="I12"/>
  <c r="J12"/>
  <c r="F12"/>
  <c r="G16"/>
  <c r="C6" i="10" s="1"/>
  <c r="H16" i="7"/>
  <c r="D6" i="10" s="1"/>
  <c r="I16" i="7"/>
  <c r="E6" i="10" s="1"/>
  <c r="J16" i="7"/>
  <c r="F6" i="10" s="1"/>
  <c r="F16" i="7"/>
  <c r="B6" i="10" s="1"/>
  <c r="G5" i="6" l="1"/>
  <c r="G6" i="2"/>
  <c r="E6"/>
  <c r="E5" i="6"/>
  <c r="E11"/>
  <c r="D11"/>
  <c r="F6" i="2"/>
  <c r="D6"/>
  <c r="I23" i="6" l="1"/>
  <c r="H23"/>
  <c r="G23"/>
  <c r="F23"/>
  <c r="E23"/>
  <c r="F9" l="1"/>
  <c r="G9"/>
  <c r="E10" i="2"/>
  <c r="H7"/>
  <c r="I7"/>
  <c r="J7"/>
  <c r="H8"/>
  <c r="I8"/>
  <c r="J8"/>
  <c r="D10"/>
  <c r="F10"/>
  <c r="G10"/>
  <c r="H10"/>
  <c r="I10"/>
  <c r="J10"/>
  <c r="D19"/>
  <c r="E19"/>
  <c r="F19"/>
  <c r="G19"/>
  <c r="H19"/>
  <c r="I19"/>
  <c r="J19"/>
  <c r="D20"/>
  <c r="E20"/>
  <c r="F20"/>
  <c r="G20"/>
  <c r="H20"/>
  <c r="I20"/>
  <c r="J20"/>
  <c r="D35"/>
  <c r="D36"/>
  <c r="D38"/>
  <c r="D39"/>
  <c r="D1" i="3"/>
  <c r="E1" s="1"/>
  <c r="D2"/>
  <c r="E2"/>
  <c r="F2" s="1"/>
  <c r="D3"/>
  <c r="E3" s="1"/>
  <c r="F3" s="1"/>
  <c r="G3" s="1"/>
  <c r="H3" s="1"/>
  <c r="D4"/>
  <c r="E4" s="1"/>
  <c r="F4" s="1"/>
  <c r="G4" s="1"/>
  <c r="H4" s="1"/>
  <c r="B13"/>
  <c r="C17"/>
  <c r="D17"/>
  <c r="E17"/>
  <c r="F17"/>
  <c r="G17"/>
  <c r="H17"/>
  <c r="C18"/>
  <c r="D18"/>
  <c r="E18"/>
  <c r="F18"/>
  <c r="G18"/>
  <c r="H18"/>
  <c r="B19"/>
  <c r="E19" s="1"/>
  <c r="C19"/>
  <c r="D19"/>
  <c r="B20"/>
  <c r="D20"/>
  <c r="C21"/>
  <c r="D21"/>
  <c r="E21"/>
  <c r="F21"/>
  <c r="G21"/>
  <c r="H21"/>
  <c r="C22"/>
  <c r="D22"/>
  <c r="E22"/>
  <c r="F22"/>
  <c r="G22"/>
  <c r="H22"/>
  <c r="B23"/>
  <c r="D23"/>
  <c r="E23"/>
  <c r="F23"/>
  <c r="G23"/>
  <c r="H23"/>
  <c r="C24"/>
  <c r="D24"/>
  <c r="E24"/>
  <c r="F24"/>
  <c r="G24"/>
  <c r="H24"/>
  <c r="C25"/>
  <c r="D25"/>
  <c r="E25"/>
  <c r="F25"/>
  <c r="G25"/>
  <c r="H25"/>
  <c r="C26"/>
  <c r="D26"/>
  <c r="E26"/>
  <c r="F26"/>
  <c r="G26"/>
  <c r="H26"/>
  <c r="D27"/>
  <c r="E27"/>
  <c r="F27"/>
  <c r="G27"/>
  <c r="H27"/>
  <c r="D28"/>
  <c r="E28"/>
  <c r="F28"/>
  <c r="G28"/>
  <c r="H28"/>
  <c r="C29"/>
  <c r="D29"/>
  <c r="E29"/>
  <c r="F29"/>
  <c r="G29"/>
  <c r="H29"/>
  <c r="C30"/>
  <c r="D30"/>
  <c r="E30"/>
  <c r="F30"/>
  <c r="G30"/>
  <c r="H30"/>
  <c r="C37"/>
  <c r="D37"/>
  <c r="E37"/>
  <c r="F37"/>
  <c r="G37"/>
  <c r="H37"/>
  <c r="B38"/>
  <c r="C38" s="1"/>
  <c r="C40" s="1"/>
  <c r="B53"/>
  <c r="D53"/>
  <c r="E53"/>
  <c r="F53"/>
  <c r="G53"/>
  <c r="H53"/>
  <c r="B54"/>
  <c r="D54"/>
  <c r="E54"/>
  <c r="F54"/>
  <c r="G54"/>
  <c r="H54"/>
  <c r="B55"/>
  <c r="D55"/>
  <c r="E55"/>
  <c r="F55"/>
  <c r="G55"/>
  <c r="H55"/>
  <c r="B56"/>
  <c r="D56"/>
  <c r="E56"/>
  <c r="F56"/>
  <c r="G56"/>
  <c r="H56"/>
  <c r="B57"/>
  <c r="D57"/>
  <c r="E57"/>
  <c r="F57"/>
  <c r="G57"/>
  <c r="H57"/>
  <c r="B58"/>
  <c r="D58"/>
  <c r="E58"/>
  <c r="F58"/>
  <c r="G58"/>
  <c r="H58"/>
  <c r="B59"/>
  <c r="D59"/>
  <c r="E59"/>
  <c r="F59"/>
  <c r="G59"/>
  <c r="H59"/>
  <c r="B60"/>
  <c r="D60"/>
  <c r="E60"/>
  <c r="F60"/>
  <c r="G60"/>
  <c r="H60"/>
  <c r="B61"/>
  <c r="D61"/>
  <c r="E61"/>
  <c r="F61"/>
  <c r="G61"/>
  <c r="H61"/>
  <c r="B62"/>
  <c r="D62"/>
  <c r="E62"/>
  <c r="F62"/>
  <c r="G62"/>
  <c r="H62"/>
  <c r="B63"/>
  <c r="D63"/>
  <c r="E63"/>
  <c r="F63"/>
  <c r="G63"/>
  <c r="H63"/>
  <c r="B64"/>
  <c r="D64"/>
  <c r="E64"/>
  <c r="F64"/>
  <c r="G64"/>
  <c r="H64"/>
  <c r="B65"/>
  <c r="D37" i="2" s="1"/>
  <c r="D65" i="3"/>
  <c r="E65"/>
  <c r="F65"/>
  <c r="G65"/>
  <c r="H65"/>
  <c r="B66"/>
  <c r="D66"/>
  <c r="E66"/>
  <c r="F66"/>
  <c r="G66"/>
  <c r="H66"/>
  <c r="B67"/>
  <c r="D67"/>
  <c r="B68"/>
  <c r="D68"/>
  <c r="B69"/>
  <c r="D69"/>
  <c r="B70"/>
  <c r="B12" s="1"/>
  <c r="B11" s="1"/>
  <c r="D70"/>
  <c r="D12" s="1"/>
  <c r="B71"/>
  <c r="D71"/>
  <c r="B72"/>
  <c r="D72"/>
  <c r="B73"/>
  <c r="D73"/>
  <c r="B74"/>
  <c r="D74"/>
  <c r="D86"/>
  <c r="E86"/>
  <c r="F86"/>
  <c r="G86"/>
  <c r="H86"/>
  <c r="B87"/>
  <c r="D87"/>
  <c r="E87"/>
  <c r="F87"/>
  <c r="G87"/>
  <c r="H87"/>
  <c r="B88"/>
  <c r="D88"/>
  <c r="E88"/>
  <c r="F88"/>
  <c r="G88"/>
  <c r="H88"/>
  <c r="B89"/>
  <c r="D89"/>
  <c r="E89"/>
  <c r="F89"/>
  <c r="G89"/>
  <c r="H89"/>
  <c r="B90"/>
  <c r="D90"/>
  <c r="E90"/>
  <c r="F90"/>
  <c r="G90"/>
  <c r="H90"/>
  <c r="B91"/>
  <c r="D91"/>
  <c r="E91"/>
  <c r="F91"/>
  <c r="G91"/>
  <c r="H91"/>
  <c r="B94"/>
  <c r="D94"/>
  <c r="E94"/>
  <c r="F94"/>
  <c r="G94"/>
  <c r="H94"/>
  <c r="B95"/>
  <c r="D95"/>
  <c r="E95"/>
  <c r="F95"/>
  <c r="G95"/>
  <c r="H95"/>
  <c r="B96"/>
  <c r="D96"/>
  <c r="E96"/>
  <c r="F96"/>
  <c r="G96"/>
  <c r="H96"/>
  <c r="B97"/>
  <c r="D97"/>
  <c r="E97"/>
  <c r="F97"/>
  <c r="G97"/>
  <c r="H97"/>
  <c r="B98"/>
  <c r="D98"/>
  <c r="E98"/>
  <c r="F98"/>
  <c r="G98"/>
  <c r="H98"/>
  <c r="D103"/>
  <c r="E103"/>
  <c r="F103"/>
  <c r="F107" s="1"/>
  <c r="G103"/>
  <c r="H103"/>
  <c r="D104"/>
  <c r="E104"/>
  <c r="F104"/>
  <c r="G104"/>
  <c r="H104"/>
  <c r="D107"/>
  <c r="H107"/>
  <c r="D110"/>
  <c r="D109" s="1"/>
  <c r="E110"/>
  <c r="E109" s="1"/>
  <c r="F110"/>
  <c r="F109" s="1"/>
  <c r="G110"/>
  <c r="G109" s="1"/>
  <c r="H110"/>
  <c r="H109" s="1"/>
  <c r="D112"/>
  <c r="F112"/>
  <c r="H112"/>
  <c r="D113"/>
  <c r="E113"/>
  <c r="F113"/>
  <c r="G113"/>
  <c r="H113"/>
  <c r="B121"/>
  <c r="H130"/>
  <c r="I130"/>
  <c r="B135"/>
  <c r="B136"/>
  <c r="C1" i="4"/>
  <c r="D8"/>
  <c r="E8"/>
  <c r="F8"/>
  <c r="G8"/>
  <c r="H8"/>
  <c r="I8"/>
  <c r="D9"/>
  <c r="E9"/>
  <c r="F9"/>
  <c r="G9"/>
  <c r="H9"/>
  <c r="I9"/>
  <c r="D10"/>
  <c r="D12"/>
  <c r="D13"/>
  <c r="E13"/>
  <c r="E14"/>
  <c r="D17"/>
  <c r="D22"/>
  <c r="E22"/>
  <c r="F22"/>
  <c r="G22"/>
  <c r="H22"/>
  <c r="I22"/>
  <c r="D23"/>
  <c r="E23"/>
  <c r="F23"/>
  <c r="G23"/>
  <c r="H23"/>
  <c r="I23"/>
  <c r="D24"/>
  <c r="E24"/>
  <c r="F24"/>
  <c r="G24"/>
  <c r="H24"/>
  <c r="I24"/>
  <c r="D25"/>
  <c r="E25"/>
  <c r="F25"/>
  <c r="G25"/>
  <c r="H25"/>
  <c r="I25"/>
  <c r="D26"/>
  <c r="E26"/>
  <c r="F26"/>
  <c r="G26"/>
  <c r="H26"/>
  <c r="I26"/>
  <c r="D31"/>
  <c r="E31"/>
  <c r="F31"/>
  <c r="G31"/>
  <c r="H31"/>
  <c r="I31"/>
  <c r="D32"/>
  <c r="D33" s="1"/>
  <c r="E32"/>
  <c r="F32"/>
  <c r="F33" s="1"/>
  <c r="G32"/>
  <c r="H32"/>
  <c r="H33" s="1"/>
  <c r="I32"/>
  <c r="I33"/>
  <c r="E37"/>
  <c r="F37"/>
  <c r="G37"/>
  <c r="H37"/>
  <c r="I37"/>
  <c r="E38"/>
  <c r="F38"/>
  <c r="G38"/>
  <c r="H38"/>
  <c r="I38"/>
  <c r="K39"/>
  <c r="K40"/>
  <c r="D41"/>
  <c r="D44"/>
  <c r="E44"/>
  <c r="F44"/>
  <c r="G44"/>
  <c r="H44"/>
  <c r="H47" s="1"/>
  <c r="I44"/>
  <c r="I47" s="1"/>
  <c r="D45"/>
  <c r="E45"/>
  <c r="F45"/>
  <c r="G45"/>
  <c r="C2" i="5"/>
  <c r="R5"/>
  <c r="X5"/>
  <c r="AD5"/>
  <c r="R6"/>
  <c r="U6"/>
  <c r="X6"/>
  <c r="AA6"/>
  <c r="AD6"/>
  <c r="R7"/>
  <c r="U7"/>
  <c r="X7"/>
  <c r="AA7"/>
  <c r="AD7"/>
  <c r="R9"/>
  <c r="U9"/>
  <c r="X9"/>
  <c r="AA9"/>
  <c r="AD9"/>
  <c r="R10"/>
  <c r="U10"/>
  <c r="X10"/>
  <c r="AA10"/>
  <c r="AD10"/>
  <c r="E15"/>
  <c r="F15"/>
  <c r="G15"/>
  <c r="H15"/>
  <c r="I15"/>
  <c r="J15" s="1"/>
  <c r="P15"/>
  <c r="S15"/>
  <c r="E16"/>
  <c r="F16"/>
  <c r="G16"/>
  <c r="H16"/>
  <c r="I16"/>
  <c r="J16" s="1"/>
  <c r="K16" s="1"/>
  <c r="P16"/>
  <c r="E17"/>
  <c r="F17"/>
  <c r="G17"/>
  <c r="H17"/>
  <c r="I17"/>
  <c r="J17" s="1"/>
  <c r="P17"/>
  <c r="S17"/>
  <c r="E18"/>
  <c r="F18"/>
  <c r="G18"/>
  <c r="H18"/>
  <c r="I18"/>
  <c r="J18" s="1"/>
  <c r="K18" s="1"/>
  <c r="P18"/>
  <c r="D19"/>
  <c r="E19"/>
  <c r="F19"/>
  <c r="O19"/>
  <c r="P19"/>
  <c r="R19"/>
  <c r="U19"/>
  <c r="X19"/>
  <c r="AA19"/>
  <c r="AD19"/>
  <c r="D22"/>
  <c r="G22" s="1"/>
  <c r="E22"/>
  <c r="F22"/>
  <c r="D23"/>
  <c r="E23"/>
  <c r="F23"/>
  <c r="H23"/>
  <c r="D24"/>
  <c r="E24"/>
  <c r="F24"/>
  <c r="D25"/>
  <c r="E25"/>
  <c r="F25"/>
  <c r="H25" s="1"/>
  <c r="D26"/>
  <c r="E26"/>
  <c r="F26"/>
  <c r="D27"/>
  <c r="E27"/>
  <c r="F27"/>
  <c r="D28"/>
  <c r="G28" s="1"/>
  <c r="E28"/>
  <c r="F28"/>
  <c r="D29"/>
  <c r="E29"/>
  <c r="F29"/>
  <c r="D30"/>
  <c r="G30" s="1"/>
  <c r="E30"/>
  <c r="F30"/>
  <c r="D31"/>
  <c r="E31"/>
  <c r="F31"/>
  <c r="D32"/>
  <c r="G32" s="1"/>
  <c r="E32"/>
  <c r="F32"/>
  <c r="D33"/>
  <c r="E33"/>
  <c r="F33"/>
  <c r="D34"/>
  <c r="G34" s="1"/>
  <c r="E34"/>
  <c r="F34"/>
  <c r="D35"/>
  <c r="E35"/>
  <c r="F35"/>
  <c r="D36"/>
  <c r="E36"/>
  <c r="F36"/>
  <c r="D37"/>
  <c r="E37"/>
  <c r="F37"/>
  <c r="O38"/>
  <c r="R38"/>
  <c r="U38"/>
  <c r="X38"/>
  <c r="AA38"/>
  <c r="AD38"/>
  <c r="I41"/>
  <c r="J41" s="1"/>
  <c r="P41"/>
  <c r="I42"/>
  <c r="J42" s="1"/>
  <c r="V42" s="1"/>
  <c r="P42"/>
  <c r="I43"/>
  <c r="J43" s="1"/>
  <c r="K43" s="1"/>
  <c r="Y43" s="1"/>
  <c r="P43"/>
  <c r="I44"/>
  <c r="J44" s="1"/>
  <c r="V44" s="1"/>
  <c r="P44"/>
  <c r="I45"/>
  <c r="J45" s="1"/>
  <c r="P45"/>
  <c r="I46"/>
  <c r="J46" s="1"/>
  <c r="V46" s="1"/>
  <c r="P46"/>
  <c r="I47"/>
  <c r="J47" s="1"/>
  <c r="K47" s="1"/>
  <c r="Y47" s="1"/>
  <c r="P47"/>
  <c r="I48"/>
  <c r="J48" s="1"/>
  <c r="V48" s="1"/>
  <c r="P48"/>
  <c r="I49"/>
  <c r="J49" s="1"/>
  <c r="P49"/>
  <c r="I50"/>
  <c r="J50" s="1"/>
  <c r="V50" s="1"/>
  <c r="P50"/>
  <c r="I51"/>
  <c r="J51" s="1"/>
  <c r="K51" s="1"/>
  <c r="Y51" s="1"/>
  <c r="P51"/>
  <c r="I52"/>
  <c r="J52" s="1"/>
  <c r="V52" s="1"/>
  <c r="P52"/>
  <c r="D55"/>
  <c r="E55"/>
  <c r="F55"/>
  <c r="O55"/>
  <c r="P55"/>
  <c r="R55"/>
  <c r="U55"/>
  <c r="X55"/>
  <c r="AA55"/>
  <c r="AD55"/>
  <c r="A58"/>
  <c r="E58" s="1"/>
  <c r="A59"/>
  <c r="D59" s="1"/>
  <c r="E59"/>
  <c r="A60"/>
  <c r="E60" s="1"/>
  <c r="A61"/>
  <c r="D61" s="1"/>
  <c r="O62"/>
  <c r="R62"/>
  <c r="U62"/>
  <c r="X62"/>
  <c r="AA62"/>
  <c r="AD62"/>
  <c r="D65"/>
  <c r="E65"/>
  <c r="F65"/>
  <c r="H65" s="1"/>
  <c r="D66"/>
  <c r="G66" s="1"/>
  <c r="E66"/>
  <c r="F66"/>
  <c r="D67"/>
  <c r="G67" s="1"/>
  <c r="E67"/>
  <c r="F67"/>
  <c r="D68"/>
  <c r="E68"/>
  <c r="F68"/>
  <c r="D69"/>
  <c r="E69"/>
  <c r="F69"/>
  <c r="D70"/>
  <c r="E70"/>
  <c r="F70"/>
  <c r="D71"/>
  <c r="E71"/>
  <c r="F71"/>
  <c r="D72"/>
  <c r="E72"/>
  <c r="F72"/>
  <c r="D73"/>
  <c r="E73"/>
  <c r="F73"/>
  <c r="H73"/>
  <c r="D74"/>
  <c r="E74"/>
  <c r="G74" s="1"/>
  <c r="F74"/>
  <c r="H74"/>
  <c r="D75"/>
  <c r="E75"/>
  <c r="G75" s="1"/>
  <c r="F75"/>
  <c r="H75" s="1"/>
  <c r="D76"/>
  <c r="E76"/>
  <c r="F76"/>
  <c r="F77" s="1"/>
  <c r="F79" s="1"/>
  <c r="O77"/>
  <c r="R77"/>
  <c r="U77"/>
  <c r="X77"/>
  <c r="AA77"/>
  <c r="AD77"/>
  <c r="O79"/>
  <c r="R79"/>
  <c r="U79"/>
  <c r="X79"/>
  <c r="AA79"/>
  <c r="AD79"/>
  <c r="A2" i="6"/>
  <c r="E7"/>
  <c r="D26"/>
  <c r="E26"/>
  <c r="F26"/>
  <c r="G26"/>
  <c r="H26"/>
  <c r="I26"/>
  <c r="D38"/>
  <c r="E38"/>
  <c r="F38"/>
  <c r="G38"/>
  <c r="H38"/>
  <c r="I38"/>
  <c r="D40"/>
  <c r="E40"/>
  <c r="F40"/>
  <c r="G40"/>
  <c r="H40"/>
  <c r="I40"/>
  <c r="B2" i="7"/>
  <c r="E10"/>
  <c r="E14"/>
  <c r="E16"/>
  <c r="A28" i="9"/>
  <c r="W29"/>
  <c r="X29"/>
  <c r="Y29"/>
  <c r="AB29"/>
  <c r="AC29"/>
  <c r="AE29"/>
  <c r="AF29"/>
  <c r="AL29"/>
  <c r="AM29"/>
  <c r="AN29"/>
  <c r="AO29"/>
  <c r="AP29"/>
  <c r="AQ29"/>
  <c r="AR29"/>
  <c r="AS29"/>
  <c r="AW29"/>
  <c r="A31"/>
  <c r="T33"/>
  <c r="AA33"/>
  <c r="AF33"/>
  <c r="T34"/>
  <c r="AA34"/>
  <c r="AF34"/>
  <c r="T35"/>
  <c r="AA35"/>
  <c r="AF35"/>
  <c r="T36"/>
  <c r="AA36"/>
  <c r="AF36"/>
  <c r="T37"/>
  <c r="AA37"/>
  <c r="AF37"/>
  <c r="O38"/>
  <c r="P38"/>
  <c r="Q38"/>
  <c r="R38"/>
  <c r="S38"/>
  <c r="T38"/>
  <c r="U38"/>
  <c r="V38"/>
  <c r="W38"/>
  <c r="X38"/>
  <c r="Y38"/>
  <c r="Z38"/>
  <c r="AA38"/>
  <c r="AB38"/>
  <c r="AC38"/>
  <c r="AD38"/>
  <c r="AE38"/>
  <c r="AF38"/>
  <c r="AG38"/>
  <c r="AH38"/>
  <c r="AI38"/>
  <c r="AJ38"/>
  <c r="AK38"/>
  <c r="AL38"/>
  <c r="AM38"/>
  <c r="AN38"/>
  <c r="AO38"/>
  <c r="AP38"/>
  <c r="AQ38"/>
  <c r="AR38"/>
  <c r="AS38"/>
  <c r="AT38"/>
  <c r="AV38"/>
  <c r="AW38"/>
  <c r="T40"/>
  <c r="AA40"/>
  <c r="AF40"/>
  <c r="T41"/>
  <c r="AA41"/>
  <c r="AF41"/>
  <c r="T42"/>
  <c r="AA42"/>
  <c r="AF42"/>
  <c r="T43"/>
  <c r="AA43"/>
  <c r="AF43"/>
  <c r="AS43"/>
  <c r="AS46" s="1"/>
  <c r="AS364" s="1"/>
  <c r="AS30" s="1"/>
  <c r="T44"/>
  <c r="AA44"/>
  <c r="AF44"/>
  <c r="T45"/>
  <c r="AA45"/>
  <c r="AF45"/>
  <c r="O46"/>
  <c r="P46"/>
  <c r="Q46"/>
  <c r="R46"/>
  <c r="S46"/>
  <c r="T46"/>
  <c r="U46"/>
  <c r="V46"/>
  <c r="W46"/>
  <c r="X46"/>
  <c r="Y46"/>
  <c r="Z46"/>
  <c r="AA46"/>
  <c r="AB46"/>
  <c r="AC46"/>
  <c r="AD46"/>
  <c r="AE46"/>
  <c r="AF46"/>
  <c r="AG46"/>
  <c r="AH46"/>
  <c r="AI46"/>
  <c r="AJ46"/>
  <c r="AK46"/>
  <c r="AL46"/>
  <c r="AM46"/>
  <c r="AN46"/>
  <c r="AO46"/>
  <c r="AP46"/>
  <c r="AQ46"/>
  <c r="AR46"/>
  <c r="AT46"/>
  <c r="AV46"/>
  <c r="AW46"/>
  <c r="O83"/>
  <c r="P83"/>
  <c r="Q83"/>
  <c r="R83"/>
  <c r="S83"/>
  <c r="T83"/>
  <c r="U83"/>
  <c r="V83"/>
  <c r="W83"/>
  <c r="X83"/>
  <c r="Y83"/>
  <c r="Z83"/>
  <c r="AA83"/>
  <c r="AB83"/>
  <c r="AC83"/>
  <c r="AD83"/>
  <c r="AE83"/>
  <c r="AF83"/>
  <c r="AG83"/>
  <c r="AH83"/>
  <c r="AI83"/>
  <c r="AJ83"/>
  <c r="AK83"/>
  <c r="AL83"/>
  <c r="AM83"/>
  <c r="AN83"/>
  <c r="AO83"/>
  <c r="AP83"/>
  <c r="AQ83"/>
  <c r="AR83"/>
  <c r="AS83"/>
  <c r="AT83"/>
  <c r="AV83"/>
  <c r="AW83"/>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V137"/>
  <c r="AW137"/>
  <c r="J142"/>
  <c r="J143"/>
  <c r="J159"/>
  <c r="J16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V180"/>
  <c r="AW180"/>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V226"/>
  <c r="AW22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V256"/>
  <c r="AW256"/>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V301"/>
  <c r="AW301"/>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V342"/>
  <c r="AW342"/>
  <c r="A344"/>
  <c r="C344"/>
  <c r="D344"/>
  <c r="E344"/>
  <c r="F344"/>
  <c r="G344"/>
  <c r="A345"/>
  <c r="C345"/>
  <c r="D345"/>
  <c r="E345"/>
  <c r="F345"/>
  <c r="G345"/>
  <c r="A346"/>
  <c r="C346"/>
  <c r="D346"/>
  <c r="E346"/>
  <c r="F346"/>
  <c r="G346"/>
  <c r="A347"/>
  <c r="C347"/>
  <c r="D347"/>
  <c r="E347"/>
  <c r="F347"/>
  <c r="G347"/>
  <c r="A348"/>
  <c r="C348"/>
  <c r="D348"/>
  <c r="E348"/>
  <c r="F348"/>
  <c r="G348"/>
  <c r="A349"/>
  <c r="C349"/>
  <c r="D349"/>
  <c r="E349"/>
  <c r="F349"/>
  <c r="G349"/>
  <c r="A350"/>
  <c r="C350"/>
  <c r="D350"/>
  <c r="E350"/>
  <c r="F350"/>
  <c r="G350"/>
  <c r="A351"/>
  <c r="C351"/>
  <c r="D351"/>
  <c r="E351"/>
  <c r="F351"/>
  <c r="G351"/>
  <c r="A352"/>
  <c r="C352"/>
  <c r="D352"/>
  <c r="E352"/>
  <c r="F352"/>
  <c r="G352"/>
  <c r="A353"/>
  <c r="C353"/>
  <c r="D353"/>
  <c r="E353"/>
  <c r="F353"/>
  <c r="G353"/>
  <c r="A354"/>
  <c r="C354"/>
  <c r="D354"/>
  <c r="E354"/>
  <c r="F354"/>
  <c r="G354"/>
  <c r="A355"/>
  <c r="C355"/>
  <c r="D355"/>
  <c r="E355"/>
  <c r="F355"/>
  <c r="G355"/>
  <c r="A356"/>
  <c r="C356"/>
  <c r="D356"/>
  <c r="E356"/>
  <c r="F356"/>
  <c r="G356"/>
  <c r="A357"/>
  <c r="C357"/>
  <c r="D357"/>
  <c r="E357"/>
  <c r="F357"/>
  <c r="G357"/>
  <c r="A358"/>
  <c r="C358"/>
  <c r="D358"/>
  <c r="E358"/>
  <c r="F358"/>
  <c r="G358"/>
  <c r="A359"/>
  <c r="C359"/>
  <c r="D359"/>
  <c r="E359"/>
  <c r="F359"/>
  <c r="G359"/>
  <c r="A360"/>
  <c r="C360"/>
  <c r="D360"/>
  <c r="E360"/>
  <c r="F360"/>
  <c r="G360"/>
  <c r="A361"/>
  <c r="C361"/>
  <c r="D361"/>
  <c r="E361"/>
  <c r="F361"/>
  <c r="G361"/>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V362"/>
  <c r="AW362"/>
  <c r="O364"/>
  <c r="O30" s="1"/>
  <c r="P364"/>
  <c r="P30" s="1"/>
  <c r="Q364"/>
  <c r="Q30" s="1"/>
  <c r="R364"/>
  <c r="R30" s="1"/>
  <c r="S364"/>
  <c r="S30" s="1"/>
  <c r="T364"/>
  <c r="T30" s="1"/>
  <c r="U364"/>
  <c r="U30" s="1"/>
  <c r="V364"/>
  <c r="V30" s="1"/>
  <c r="W364"/>
  <c r="W30" s="1"/>
  <c r="X364"/>
  <c r="X30" s="1"/>
  <c r="Y364"/>
  <c r="Y30" s="1"/>
  <c r="Z364"/>
  <c r="Z30" s="1"/>
  <c r="AA364"/>
  <c r="AB364"/>
  <c r="AB30" s="1"/>
  <c r="AC364"/>
  <c r="AC30" s="1"/>
  <c r="AD364"/>
  <c r="AD30" s="1"/>
  <c r="AE364"/>
  <c r="AE30" s="1"/>
  <c r="AF364"/>
  <c r="AG364"/>
  <c r="AG30" s="1"/>
  <c r="AH364"/>
  <c r="AH30" s="1"/>
  <c r="AI364"/>
  <c r="AI30" s="1"/>
  <c r="AJ364"/>
  <c r="AJ30" s="1"/>
  <c r="AK364"/>
  <c r="AK30" s="1"/>
  <c r="AL364"/>
  <c r="AL30" s="1"/>
  <c r="AM364"/>
  <c r="AM30" s="1"/>
  <c r="AN364"/>
  <c r="AN30" s="1"/>
  <c r="AO364"/>
  <c r="AO30" s="1"/>
  <c r="AP364"/>
  <c r="AP30" s="1"/>
  <c r="AQ364"/>
  <c r="AQ30" s="1"/>
  <c r="AR364"/>
  <c r="AR30" s="1"/>
  <c r="AT364"/>
  <c r="AT30" s="1"/>
  <c r="AV364"/>
  <c r="AV30" s="1"/>
  <c r="AW364"/>
  <c r="AW30" l="1"/>
  <c r="E33" i="4"/>
  <c r="H105" i="3"/>
  <c r="F105"/>
  <c r="D105"/>
  <c r="H19"/>
  <c r="F19"/>
  <c r="K32" i="4"/>
  <c r="G33"/>
  <c r="G105" i="3"/>
  <c r="G108" s="1"/>
  <c r="H41" i="4"/>
  <c r="F41"/>
  <c r="I41"/>
  <c r="G41"/>
  <c r="K25"/>
  <c r="E105" i="3"/>
  <c r="E108" s="1"/>
  <c r="H67" i="5"/>
  <c r="H66"/>
  <c r="F27" i="4"/>
  <c r="G19" i="3"/>
  <c r="H76" i="5"/>
  <c r="G26"/>
  <c r="G24"/>
  <c r="K8" i="4"/>
  <c r="D114" i="3"/>
  <c r="D118" s="1"/>
  <c r="E10" i="4" s="1"/>
  <c r="G107" i="3"/>
  <c r="E107"/>
  <c r="F38"/>
  <c r="F40" s="1"/>
  <c r="P67" i="5"/>
  <c r="I67"/>
  <c r="J67" s="1"/>
  <c r="V67" s="1"/>
  <c r="P66"/>
  <c r="I66"/>
  <c r="J66" s="1"/>
  <c r="V66" s="1"/>
  <c r="G73"/>
  <c r="H71"/>
  <c r="H69"/>
  <c r="G25"/>
  <c r="I25" s="1"/>
  <c r="H27" i="4"/>
  <c r="D27"/>
  <c r="H38" i="3"/>
  <c r="H40" s="1"/>
  <c r="D38"/>
  <c r="D40" s="1"/>
  <c r="G76" i="5"/>
  <c r="H72"/>
  <c r="H70"/>
  <c r="H68"/>
  <c r="G65"/>
  <c r="S51"/>
  <c r="S47"/>
  <c r="S43"/>
  <c r="E38"/>
  <c r="G23"/>
  <c r="I23" s="1"/>
  <c r="S18"/>
  <c r="K23" i="4"/>
  <c r="K9"/>
  <c r="G106" i="3"/>
  <c r="P73" i="5"/>
  <c r="I73"/>
  <c r="K49"/>
  <c r="Y49" s="1"/>
  <c r="V49"/>
  <c r="K45"/>
  <c r="Y45" s="1"/>
  <c r="V45"/>
  <c r="K41"/>
  <c r="Y41" s="1"/>
  <c r="V41"/>
  <c r="P25"/>
  <c r="P65"/>
  <c r="I65"/>
  <c r="P23"/>
  <c r="H106" i="3"/>
  <c r="H108"/>
  <c r="F106"/>
  <c r="F108"/>
  <c r="D106"/>
  <c r="D108"/>
  <c r="G2"/>
  <c r="F114"/>
  <c r="F118" s="1"/>
  <c r="G10" i="4" s="1"/>
  <c r="F1" i="3"/>
  <c r="E20"/>
  <c r="F13" i="4" s="1"/>
  <c r="E67" i="3"/>
  <c r="D77" i="5"/>
  <c r="D79" s="1"/>
  <c r="G72"/>
  <c r="G71"/>
  <c r="G70"/>
  <c r="G69"/>
  <c r="G68"/>
  <c r="E61"/>
  <c r="G59"/>
  <c r="V51"/>
  <c r="S49"/>
  <c r="V47"/>
  <c r="S45"/>
  <c r="V43"/>
  <c r="S41"/>
  <c r="G36"/>
  <c r="G35"/>
  <c r="I35" s="1"/>
  <c r="G33"/>
  <c r="G31"/>
  <c r="G29"/>
  <c r="G27"/>
  <c r="H24"/>
  <c r="H22"/>
  <c r="S16"/>
  <c r="S19" s="1"/>
  <c r="F14" i="7" s="1"/>
  <c r="F47" i="4"/>
  <c r="D47"/>
  <c r="K38"/>
  <c r="K31"/>
  <c r="K33" s="1"/>
  <c r="K24"/>
  <c r="G112" i="3"/>
  <c r="AA5" i="5" s="1"/>
  <c r="E112" i="3"/>
  <c r="H111"/>
  <c r="F111"/>
  <c r="D111"/>
  <c r="B39"/>
  <c r="G38"/>
  <c r="G40" s="1"/>
  <c r="E38"/>
  <c r="E40" s="1"/>
  <c r="K44" i="4"/>
  <c r="K47" s="1"/>
  <c r="E47"/>
  <c r="G47"/>
  <c r="K37"/>
  <c r="K41" s="1"/>
  <c r="K26"/>
  <c r="I27"/>
  <c r="G27"/>
  <c r="K22"/>
  <c r="G111" i="3"/>
  <c r="E111"/>
  <c r="P72" i="5"/>
  <c r="I72"/>
  <c r="J72" s="1"/>
  <c r="V72" s="1"/>
  <c r="P71"/>
  <c r="I71"/>
  <c r="P70"/>
  <c r="I70"/>
  <c r="J70" s="1"/>
  <c r="V70" s="1"/>
  <c r="P69"/>
  <c r="I69"/>
  <c r="P68"/>
  <c r="I68"/>
  <c r="J68" s="1"/>
  <c r="V68" s="1"/>
  <c r="I59"/>
  <c r="P59"/>
  <c r="P76"/>
  <c r="I76"/>
  <c r="J76" s="1"/>
  <c r="P75"/>
  <c r="I75"/>
  <c r="P74"/>
  <c r="I74"/>
  <c r="J74" s="1"/>
  <c r="V74" s="1"/>
  <c r="G61"/>
  <c r="P24"/>
  <c r="I24"/>
  <c r="P22"/>
  <c r="I22"/>
  <c r="K67"/>
  <c r="L67" s="1"/>
  <c r="AB67" s="1"/>
  <c r="F61"/>
  <c r="H61" s="1"/>
  <c r="F59"/>
  <c r="E62"/>
  <c r="S52"/>
  <c r="K52"/>
  <c r="L51"/>
  <c r="S50"/>
  <c r="K50"/>
  <c r="L49"/>
  <c r="S48"/>
  <c r="K48"/>
  <c r="L47"/>
  <c r="S46"/>
  <c r="K46"/>
  <c r="L45"/>
  <c r="S44"/>
  <c r="K44"/>
  <c r="L43"/>
  <c r="S42"/>
  <c r="K42"/>
  <c r="L41"/>
  <c r="F38"/>
  <c r="G37"/>
  <c r="H36"/>
  <c r="P35"/>
  <c r="H35"/>
  <c r="H34"/>
  <c r="H33"/>
  <c r="H32"/>
  <c r="H31"/>
  <c r="H30"/>
  <c r="H29"/>
  <c r="H28"/>
  <c r="H27"/>
  <c r="H26"/>
  <c r="E77"/>
  <c r="E79" s="1"/>
  <c r="V18"/>
  <c r="V16"/>
  <c r="D60"/>
  <c r="F60"/>
  <c r="Y18"/>
  <c r="L18"/>
  <c r="V17"/>
  <c r="K17"/>
  <c r="Y16"/>
  <c r="L16"/>
  <c r="V15"/>
  <c r="K15"/>
  <c r="S76"/>
  <c r="S74"/>
  <c r="K74"/>
  <c r="S72"/>
  <c r="K72"/>
  <c r="S70"/>
  <c r="K70"/>
  <c r="S68"/>
  <c r="K68"/>
  <c r="Y67"/>
  <c r="M67"/>
  <c r="AE67" s="1"/>
  <c r="S66"/>
  <c r="K66"/>
  <c r="H59"/>
  <c r="D38"/>
  <c r="H37"/>
  <c r="D58"/>
  <c r="F58"/>
  <c r="F62" s="1"/>
  <c r="P34"/>
  <c r="I34"/>
  <c r="P33"/>
  <c r="I33"/>
  <c r="P32"/>
  <c r="I32"/>
  <c r="P31"/>
  <c r="I31"/>
  <c r="P30"/>
  <c r="I30"/>
  <c r="P29"/>
  <c r="I29"/>
  <c r="P28"/>
  <c r="I28"/>
  <c r="P27"/>
  <c r="I27"/>
  <c r="P26"/>
  <c r="I26"/>
  <c r="E41" i="4"/>
  <c r="E27"/>
  <c r="AA29" i="9"/>
  <c r="AD8" i="5"/>
  <c r="AA8"/>
  <c r="X8"/>
  <c r="U8"/>
  <c r="R8"/>
  <c r="D6" i="4"/>
  <c r="D18" s="1"/>
  <c r="D49" s="1"/>
  <c r="E6" i="7" s="1"/>
  <c r="F115" i="3"/>
  <c r="F117" s="1"/>
  <c r="F13" s="1"/>
  <c r="F116"/>
  <c r="F119" s="1"/>
  <c r="F120" s="1"/>
  <c r="D115"/>
  <c r="D117" s="1"/>
  <c r="D13" s="1"/>
  <c r="D116"/>
  <c r="D119" s="1"/>
  <c r="D120" s="1"/>
  <c r="AF30" i="9"/>
  <c r="AA30"/>
  <c r="D11" i="3"/>
  <c r="E17" i="4" s="1"/>
  <c r="K27" l="1"/>
  <c r="S67" i="5"/>
  <c r="E106" i="3"/>
  <c r="J23" i="5"/>
  <c r="S23"/>
  <c r="J25"/>
  <c r="S25"/>
  <c r="S35"/>
  <c r="J35"/>
  <c r="J65"/>
  <c r="S65"/>
  <c r="S55"/>
  <c r="F10" i="7" s="1"/>
  <c r="C39" i="3"/>
  <c r="C41" s="1"/>
  <c r="C42" s="1"/>
  <c r="C43" s="1"/>
  <c r="E39"/>
  <c r="E41" s="1"/>
  <c r="E42" s="1"/>
  <c r="E43" s="1"/>
  <c r="F7" i="4" s="1"/>
  <c r="G39" i="3"/>
  <c r="G41" s="1"/>
  <c r="G42" s="1"/>
  <c r="G43" s="1"/>
  <c r="H7" i="4" s="1"/>
  <c r="D39" i="3"/>
  <c r="D41" s="1"/>
  <c r="D42" s="1"/>
  <c r="D43" s="1"/>
  <c r="E7" i="4" s="1"/>
  <c r="F39" i="3"/>
  <c r="F41" s="1"/>
  <c r="F42" s="1"/>
  <c r="F43" s="1"/>
  <c r="G7" i="4" s="1"/>
  <c r="G6" s="1"/>
  <c r="H39" i="3"/>
  <c r="H41" s="1"/>
  <c r="H42" s="1"/>
  <c r="H43" s="1"/>
  <c r="I7" i="4" s="1"/>
  <c r="E114" i="3"/>
  <c r="U5" i="5"/>
  <c r="I36"/>
  <c r="P36"/>
  <c r="E68" i="3"/>
  <c r="E70" s="1"/>
  <c r="E12" s="1"/>
  <c r="E69"/>
  <c r="E72" s="1"/>
  <c r="E73" s="1"/>
  <c r="E71"/>
  <c r="G1"/>
  <c r="F20"/>
  <c r="G13" i="4" s="1"/>
  <c r="F67" i="3"/>
  <c r="H2"/>
  <c r="H114" s="1"/>
  <c r="G114"/>
  <c r="J73" i="5"/>
  <c r="S73"/>
  <c r="V55"/>
  <c r="G10" i="7" s="1"/>
  <c r="I37" i="5"/>
  <c r="P37"/>
  <c r="M41"/>
  <c r="AE41" s="1"/>
  <c r="AB41"/>
  <c r="L44"/>
  <c r="Y44"/>
  <c r="M45"/>
  <c r="AE45" s="1"/>
  <c r="AB45"/>
  <c r="L48"/>
  <c r="Y48"/>
  <c r="M49"/>
  <c r="AE49" s="1"/>
  <c r="AB49"/>
  <c r="L52"/>
  <c r="Y52"/>
  <c r="J22"/>
  <c r="S22"/>
  <c r="J24"/>
  <c r="S24"/>
  <c r="J75"/>
  <c r="S75"/>
  <c r="K76"/>
  <c r="V76"/>
  <c r="S59"/>
  <c r="J59"/>
  <c r="V19"/>
  <c r="G14" i="7" s="1"/>
  <c r="P77" i="5"/>
  <c r="E11" i="7" s="1"/>
  <c r="L42" i="5"/>
  <c r="Y42"/>
  <c r="M43"/>
  <c r="AE43" s="1"/>
  <c r="AB43"/>
  <c r="L46"/>
  <c r="Y46"/>
  <c r="M47"/>
  <c r="AE47" s="1"/>
  <c r="AB47"/>
  <c r="L50"/>
  <c r="Y50"/>
  <c r="M51"/>
  <c r="AE51" s="1"/>
  <c r="AB51"/>
  <c r="I61"/>
  <c r="P61"/>
  <c r="J69"/>
  <c r="S69"/>
  <c r="J71"/>
  <c r="S71"/>
  <c r="J27"/>
  <c r="S27"/>
  <c r="H58"/>
  <c r="G58"/>
  <c r="D62"/>
  <c r="L66"/>
  <c r="Y66"/>
  <c r="L68"/>
  <c r="Y68"/>
  <c r="L70"/>
  <c r="Y70"/>
  <c r="L72"/>
  <c r="Y72"/>
  <c r="L74"/>
  <c r="Y74"/>
  <c r="H60"/>
  <c r="G60"/>
  <c r="J26"/>
  <c r="S26"/>
  <c r="J28"/>
  <c r="S28"/>
  <c r="J29"/>
  <c r="S29"/>
  <c r="J30"/>
  <c r="S30"/>
  <c r="J31"/>
  <c r="S31"/>
  <c r="J32"/>
  <c r="S32"/>
  <c r="J33"/>
  <c r="S33"/>
  <c r="J34"/>
  <c r="S34"/>
  <c r="L15"/>
  <c r="Y15"/>
  <c r="M16"/>
  <c r="AE16" s="1"/>
  <c r="AB16"/>
  <c r="L17"/>
  <c r="Y17"/>
  <c r="M18"/>
  <c r="AE18" s="1"/>
  <c r="AB18"/>
  <c r="D121" i="3"/>
  <c r="E12" i="4"/>
  <c r="F121" i="3"/>
  <c r="G12" i="4"/>
  <c r="P38" i="5" l="1"/>
  <c r="E9" i="7" s="1"/>
  <c r="K25" i="5"/>
  <c r="V25"/>
  <c r="V23"/>
  <c r="K23"/>
  <c r="Y55"/>
  <c r="H10" i="7" s="1"/>
  <c r="V73" i="5"/>
  <c r="K73"/>
  <c r="H118" i="3"/>
  <c r="I10" i="4" s="1"/>
  <c r="H115" i="3"/>
  <c r="H117" s="1"/>
  <c r="H13" s="1"/>
  <c r="H116"/>
  <c r="H119" s="1"/>
  <c r="H120" s="1"/>
  <c r="S36" i="5"/>
  <c r="J36"/>
  <c r="E118" i="3"/>
  <c r="F10" i="4" s="1"/>
  <c r="F6" s="1"/>
  <c r="E115" i="3"/>
  <c r="E117" s="1"/>
  <c r="E13" s="1"/>
  <c r="E116"/>
  <c r="E119" s="1"/>
  <c r="E120" s="1"/>
  <c r="V65" i="5"/>
  <c r="K65"/>
  <c r="S77"/>
  <c r="F11" i="7" s="1"/>
  <c r="E74" i="3"/>
  <c r="F14" i="4" s="1"/>
  <c r="E11" i="3"/>
  <c r="F17" i="4" s="1"/>
  <c r="G118" i="3"/>
  <c r="H10" i="4" s="1"/>
  <c r="H6" s="1"/>
  <c r="G116" i="3"/>
  <c r="G119" s="1"/>
  <c r="G120" s="1"/>
  <c r="G115"/>
  <c r="G117" s="1"/>
  <c r="G13" s="1"/>
  <c r="F68"/>
  <c r="F70" s="1"/>
  <c r="F12" s="1"/>
  <c r="F11" s="1"/>
  <c r="G17" i="4" s="1"/>
  <c r="F69" i="3"/>
  <c r="F72" s="1"/>
  <c r="F73" s="1"/>
  <c r="F71"/>
  <c r="H1"/>
  <c r="G20"/>
  <c r="H13" i="4" s="1"/>
  <c r="G67" i="3"/>
  <c r="K7" i="4"/>
  <c r="E6"/>
  <c r="E18" s="1"/>
  <c r="E49" s="1"/>
  <c r="F6" i="7" s="1"/>
  <c r="B4" i="10" s="1"/>
  <c r="K35" i="5"/>
  <c r="V35"/>
  <c r="I6" i="4"/>
  <c r="V71" i="5"/>
  <c r="K71"/>
  <c r="V69"/>
  <c r="K69"/>
  <c r="S61"/>
  <c r="J61"/>
  <c r="AB50"/>
  <c r="M50"/>
  <c r="AE50" s="1"/>
  <c r="AB46"/>
  <c r="M46"/>
  <c r="AE46" s="1"/>
  <c r="AB42"/>
  <c r="M42"/>
  <c r="AE42" s="1"/>
  <c r="K59"/>
  <c r="V59"/>
  <c r="Y19"/>
  <c r="H14" i="7" s="1"/>
  <c r="Y76" i="5"/>
  <c r="L76"/>
  <c r="V75"/>
  <c r="K75"/>
  <c r="K24"/>
  <c r="V24"/>
  <c r="K22"/>
  <c r="V22"/>
  <c r="AB52"/>
  <c r="M52"/>
  <c r="AE52" s="1"/>
  <c r="AB48"/>
  <c r="M48"/>
  <c r="AE48" s="1"/>
  <c r="AB44"/>
  <c r="M44"/>
  <c r="AE44" s="1"/>
  <c r="S37"/>
  <c r="J37"/>
  <c r="AB74"/>
  <c r="M74"/>
  <c r="AE74" s="1"/>
  <c r="AB72"/>
  <c r="M72"/>
  <c r="AE72" s="1"/>
  <c r="AB70"/>
  <c r="M70"/>
  <c r="AE70" s="1"/>
  <c r="AB66"/>
  <c r="M66"/>
  <c r="AE66" s="1"/>
  <c r="P58"/>
  <c r="I58"/>
  <c r="AB17"/>
  <c r="M17"/>
  <c r="AE17" s="1"/>
  <c r="AB15"/>
  <c r="AB19" s="1"/>
  <c r="I14" i="7" s="1"/>
  <c r="M15" i="5"/>
  <c r="AE15" s="1"/>
  <c r="AE19" s="1"/>
  <c r="J14" i="7" s="1"/>
  <c r="V34" i="5"/>
  <c r="K34"/>
  <c r="V33"/>
  <c r="K33"/>
  <c r="V32"/>
  <c r="K32"/>
  <c r="V31"/>
  <c r="K31"/>
  <c r="V30"/>
  <c r="K30"/>
  <c r="V29"/>
  <c r="K29"/>
  <c r="V28"/>
  <c r="K28"/>
  <c r="V26"/>
  <c r="K26"/>
  <c r="P60"/>
  <c r="I60"/>
  <c r="V27"/>
  <c r="K27"/>
  <c r="AB68"/>
  <c r="M68"/>
  <c r="AE68" s="1"/>
  <c r="S38" l="1"/>
  <c r="AE55"/>
  <c r="J10" i="7" s="1"/>
  <c r="L25" i="5"/>
  <c r="Y25"/>
  <c r="AB55"/>
  <c r="I10" i="7" s="1"/>
  <c r="Y23" i="5"/>
  <c r="L23"/>
  <c r="Y35"/>
  <c r="L35"/>
  <c r="G121" i="3"/>
  <c r="H12" i="4"/>
  <c r="K36" i="5"/>
  <c r="V36"/>
  <c r="I12" i="4"/>
  <c r="H121" i="3"/>
  <c r="F74"/>
  <c r="G14" i="4" s="1"/>
  <c r="G18" s="1"/>
  <c r="G49" s="1"/>
  <c r="H6" i="7" s="1"/>
  <c r="D4" i="10" s="1"/>
  <c r="G68" i="3"/>
  <c r="G70" s="1"/>
  <c r="G12" s="1"/>
  <c r="G11" s="1"/>
  <c r="H17" i="4" s="1"/>
  <c r="G69" i="3"/>
  <c r="G72" s="1"/>
  <c r="G73" s="1"/>
  <c r="G71"/>
  <c r="H20"/>
  <c r="I13" i="4" s="1"/>
  <c r="K13" s="1"/>
  <c r="H67" i="3"/>
  <c r="L65" i="5"/>
  <c r="Y65"/>
  <c r="F12" i="4"/>
  <c r="E121" i="3"/>
  <c r="L73" i="5"/>
  <c r="Y73"/>
  <c r="K6" i="4"/>
  <c r="K10"/>
  <c r="K37" i="5"/>
  <c r="V37"/>
  <c r="V38" s="1"/>
  <c r="Y22"/>
  <c r="L22"/>
  <c r="Y24"/>
  <c r="L24"/>
  <c r="Y59"/>
  <c r="L59"/>
  <c r="V77"/>
  <c r="G11" i="7" s="1"/>
  <c r="L75" i="5"/>
  <c r="Y75"/>
  <c r="AB76"/>
  <c r="M76"/>
  <c r="AE76" s="1"/>
  <c r="K61"/>
  <c r="V61"/>
  <c r="L69"/>
  <c r="Y69"/>
  <c r="L71"/>
  <c r="Y71"/>
  <c r="F9" i="7"/>
  <c r="L27" i="5"/>
  <c r="Y27"/>
  <c r="L28"/>
  <c r="Y28"/>
  <c r="L29"/>
  <c r="Y29"/>
  <c r="L31"/>
  <c r="Y31"/>
  <c r="L32"/>
  <c r="Y32"/>
  <c r="L33"/>
  <c r="Y33"/>
  <c r="L34"/>
  <c r="Y34"/>
  <c r="P62"/>
  <c r="J60"/>
  <c r="S60"/>
  <c r="L26"/>
  <c r="Y26"/>
  <c r="L30"/>
  <c r="Y30"/>
  <c r="J58"/>
  <c r="S58"/>
  <c r="S62" s="1"/>
  <c r="F8" i="7" s="1"/>
  <c r="AB23" i="5" l="1"/>
  <c r="M23"/>
  <c r="AE23" s="1"/>
  <c r="AB25"/>
  <c r="M25"/>
  <c r="AE25" s="1"/>
  <c r="F13" i="7"/>
  <c r="F18" i="4"/>
  <c r="F49" s="1"/>
  <c r="G6" i="7" s="1"/>
  <c r="C4" i="10" s="1"/>
  <c r="K12" i="4"/>
  <c r="AB65" i="5"/>
  <c r="M65"/>
  <c r="AE65" s="1"/>
  <c r="H68" i="3"/>
  <c r="H70" s="1"/>
  <c r="H12" s="1"/>
  <c r="H11" s="1"/>
  <c r="I17" i="4" s="1"/>
  <c r="K17" s="1"/>
  <c r="H69" i="3"/>
  <c r="H72" s="1"/>
  <c r="H73" s="1"/>
  <c r="H71"/>
  <c r="Y36" i="5"/>
  <c r="L36"/>
  <c r="G74" i="3"/>
  <c r="H14" i="4" s="1"/>
  <c r="H18" s="1"/>
  <c r="H49" s="1"/>
  <c r="I6" i="7" s="1"/>
  <c r="E4" i="10" s="1"/>
  <c r="AB73" i="5"/>
  <c r="M73"/>
  <c r="AE73" s="1"/>
  <c r="AB35"/>
  <c r="M35"/>
  <c r="AE35" s="1"/>
  <c r="Y37"/>
  <c r="L37"/>
  <c r="Y77"/>
  <c r="H11" i="7" s="1"/>
  <c r="AB71" i="5"/>
  <c r="M71"/>
  <c r="AE71" s="1"/>
  <c r="AB69"/>
  <c r="M69"/>
  <c r="AE69" s="1"/>
  <c r="Y61"/>
  <c r="L61"/>
  <c r="AB75"/>
  <c r="M75"/>
  <c r="AE75" s="1"/>
  <c r="AB59"/>
  <c r="M59"/>
  <c r="AE59" s="1"/>
  <c r="AB24"/>
  <c r="M24"/>
  <c r="AE24" s="1"/>
  <c r="M22"/>
  <c r="AE22" s="1"/>
  <c r="AB22"/>
  <c r="V58"/>
  <c r="K58"/>
  <c r="AB30"/>
  <c r="M30"/>
  <c r="AE30" s="1"/>
  <c r="AB26"/>
  <c r="M26"/>
  <c r="AE26" s="1"/>
  <c r="V60"/>
  <c r="K60"/>
  <c r="E8" i="7"/>
  <c r="E13" s="1"/>
  <c r="E17" s="1"/>
  <c r="E18" s="1"/>
  <c r="P79" i="5"/>
  <c r="G9" i="7"/>
  <c r="AB34" i="5"/>
  <c r="M34"/>
  <c r="AE34" s="1"/>
  <c r="AB33"/>
  <c r="M33"/>
  <c r="AE33" s="1"/>
  <c r="AB32"/>
  <c r="M32"/>
  <c r="AE32" s="1"/>
  <c r="AB31"/>
  <c r="M31"/>
  <c r="AE31" s="1"/>
  <c r="AB29"/>
  <c r="M29"/>
  <c r="AE29" s="1"/>
  <c r="AB28"/>
  <c r="M28"/>
  <c r="AE28" s="1"/>
  <c r="AB27"/>
  <c r="M27"/>
  <c r="AE27" s="1"/>
  <c r="S79"/>
  <c r="F15" i="7" l="1"/>
  <c r="F17" s="1"/>
  <c r="B5" i="10"/>
  <c r="Y38" i="5"/>
  <c r="H9" i="7" s="1"/>
  <c r="M36" i="5"/>
  <c r="AE36" s="1"/>
  <c r="AE38" s="1"/>
  <c r="AB36"/>
  <c r="H74" i="3"/>
  <c r="I14" i="4" s="1"/>
  <c r="I18" s="1"/>
  <c r="I49" s="1"/>
  <c r="J6" i="7" s="1"/>
  <c r="F4" i="10" s="1"/>
  <c r="M37" i="5"/>
  <c r="AE37" s="1"/>
  <c r="AB37"/>
  <c r="AE77"/>
  <c r="J11" i="7" s="1"/>
  <c r="AB77" i="5"/>
  <c r="I11" i="7" s="1"/>
  <c r="M61" i="5"/>
  <c r="AE61" s="1"/>
  <c r="AB61"/>
  <c r="L60"/>
  <c r="Y60"/>
  <c r="L58"/>
  <c r="Y58"/>
  <c r="Y62" s="1"/>
  <c r="V62"/>
  <c r="K14" i="4" l="1"/>
  <c r="K18" s="1"/>
  <c r="K49" s="1"/>
  <c r="F18" i="7"/>
  <c r="B8" i="10" s="1"/>
  <c r="B7"/>
  <c r="AB38" i="5"/>
  <c r="I9" i="7" s="1"/>
  <c r="H8"/>
  <c r="H13" s="1"/>
  <c r="Y79" i="5"/>
  <c r="G8" i="7"/>
  <c r="G13" s="1"/>
  <c r="V79" i="5"/>
  <c r="J9" i="7"/>
  <c r="AB58" i="5"/>
  <c r="M58"/>
  <c r="AE58" s="1"/>
  <c r="AB60"/>
  <c r="M60"/>
  <c r="AE60" s="1"/>
  <c r="G15" i="7" l="1"/>
  <c r="C5" i="10"/>
  <c r="H15" i="7"/>
  <c r="H17" s="1"/>
  <c r="D5" i="10"/>
  <c r="G17" i="7"/>
  <c r="AE62" i="5"/>
  <c r="AB62"/>
  <c r="H18" i="7" l="1"/>
  <c r="D8" i="10" s="1"/>
  <c r="D7"/>
  <c r="G18" i="7"/>
  <c r="C8" i="10" s="1"/>
  <c r="C7"/>
  <c r="I8" i="7"/>
  <c r="I13" s="1"/>
  <c r="AB79" i="5"/>
  <c r="J8" i="7"/>
  <c r="J13" s="1"/>
  <c r="AE79" i="5"/>
  <c r="J15" i="7" l="1"/>
  <c r="F5" i="10"/>
  <c r="I15" i="7"/>
  <c r="I17" s="1"/>
  <c r="E5" i="10"/>
  <c r="J17" i="7"/>
  <c r="I18" l="1"/>
  <c r="E8" i="10" s="1"/>
  <c r="E7"/>
  <c r="J18" i="7"/>
  <c r="F8" i="10" s="1"/>
  <c r="F7"/>
</calcChain>
</file>

<file path=xl/sharedStrings.xml><?xml version="1.0" encoding="utf-8"?>
<sst xmlns="http://schemas.openxmlformats.org/spreadsheetml/2006/main" count="3816" uniqueCount="1835">
  <si>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</si>
  <si>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</si>
  <si>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</si>
  <si>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</si>
  <si>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Data Entry</t>
  </si>
  <si>
    <t>Table 1</t>
  </si>
  <si>
    <t>Data Entry - Table 1</t>
  </si>
  <si>
    <t>School Name</t>
  </si>
  <si>
    <t>DCIS 6-12</t>
  </si>
  <si>
    <t>School Type</t>
  </si>
  <si>
    <t>6-12</t>
  </si>
  <si>
    <t>Salary Growth</t>
  </si>
  <si>
    <t>Total Startup Funding</t>
  </si>
  <si>
    <t xml:space="preserve">Walton Implementation Grant </t>
  </si>
  <si>
    <r>
      <t>Walton Grant- (</t>
    </r>
    <r>
      <rPr>
        <u/>
        <sz val="10"/>
        <color indexed="10"/>
        <rFont val="Arial Bold"/>
      </rPr>
      <t>$</t>
    </r>
    <r>
      <rPr>
        <sz val="10"/>
        <color indexed="10"/>
        <rFont val="Arial Bold"/>
      </rPr>
      <t>300,000 total)</t>
    </r>
  </si>
  <si>
    <t>Total Grant Funding</t>
  </si>
  <si>
    <t>Enrollment Data</t>
  </si>
  <si>
    <t>Year 0</t>
  </si>
  <si>
    <t>Year 1</t>
  </si>
  <si>
    <t>Year 2</t>
  </si>
  <si>
    <t>Year 3</t>
  </si>
  <si>
    <t>Year 4</t>
  </si>
  <si>
    <t>Year 5</t>
  </si>
  <si>
    <t>Total ECE Enrollment</t>
  </si>
  <si>
    <t>Total Kinder Enrollment</t>
  </si>
  <si>
    <t>Total Enrollment Grades 1-5</t>
  </si>
  <si>
    <t>Total Enrollment Grades 6-8</t>
  </si>
  <si>
    <t>Total Enrollment Grades 9-12</t>
  </si>
  <si>
    <t>TOTAL ECE-12 (@ 1.00)</t>
  </si>
  <si>
    <t>TOTAL K-12 (K=.5)</t>
  </si>
  <si>
    <t>Mild Moderate (K-12)</t>
  </si>
  <si>
    <t>Gifted &amp; Talented (K-8)</t>
  </si>
  <si>
    <t>ELL</t>
  </si>
  <si>
    <t># of Center Programs</t>
  </si>
  <si>
    <t># of ECE Slots</t>
  </si>
  <si>
    <t># of Kinder Slots</t>
  </si>
  <si>
    <t>% ELL</t>
  </si>
  <si>
    <t>NA</t>
  </si>
  <si>
    <t>% Free Lunch</t>
  </si>
  <si>
    <t>% Free and Reduced Lunch</t>
  </si>
  <si>
    <t>Required Nurse Days</t>
  </si>
  <si>
    <t>Required Mental Health Days</t>
  </si>
  <si>
    <t>Required MM FTE</t>
  </si>
  <si>
    <t>Required Purchase GF</t>
  </si>
  <si>
    <t>Required Purchase ML</t>
  </si>
  <si>
    <t>Principal</t>
  </si>
  <si>
    <t>AP</t>
  </si>
  <si>
    <t>Business Mgr</t>
  </si>
  <si>
    <t>Office Manager</t>
  </si>
  <si>
    <t>ES</t>
  </si>
  <si>
    <t>0244</t>
  </si>
  <si>
    <t>0210</t>
  </si>
  <si>
    <t>0615</t>
  </si>
  <si>
    <t>0725</t>
  </si>
  <si>
    <t>K8</t>
  </si>
  <si>
    <t>0217</t>
  </si>
  <si>
    <t>0219</t>
  </si>
  <si>
    <t>MS</t>
  </si>
  <si>
    <t>0246</t>
  </si>
  <si>
    <t>0213</t>
  </si>
  <si>
    <t>0616</t>
  </si>
  <si>
    <t>0727</t>
  </si>
  <si>
    <t>0245</t>
  </si>
  <si>
    <t>0211</t>
  </si>
  <si>
    <t>0617</t>
  </si>
  <si>
    <t>HS</t>
  </si>
  <si>
    <t>Calculations</t>
  </si>
  <si>
    <t>Calculations - Table 1</t>
  </si>
  <si>
    <t>Average Teacher</t>
  </si>
  <si>
    <t>Average PSN</t>
  </si>
  <si>
    <t>Average ECE</t>
  </si>
  <si>
    <t>Average Kinder</t>
  </si>
  <si>
    <t>TOTAL HURDLE</t>
  </si>
  <si>
    <t>MM Subsidy</t>
  </si>
  <si>
    <t>PSN Subsidy</t>
  </si>
  <si>
    <t>BASIC CALCULATIONS</t>
  </si>
  <si>
    <t>Rate</t>
  </si>
  <si>
    <t>Students</t>
  </si>
  <si>
    <t>Total Year 1</t>
  </si>
  <si>
    <t>Total Year 2</t>
  </si>
  <si>
    <t>Total Year 3</t>
  </si>
  <si>
    <t>Total Year 4</t>
  </si>
  <si>
    <t>Total Year 5</t>
  </si>
  <si>
    <t>Instructional (K-12 - K@.5)</t>
  </si>
  <si>
    <t>Guest Teachers (ECE-12 @ 1.00)</t>
  </si>
  <si>
    <t>GT per pupil (GT K-8)</t>
  </si>
  <si>
    <t>GT Minimum</t>
  </si>
  <si>
    <t>Student Literacy Development (K-12 - K@.5)</t>
  </si>
  <si>
    <t>Technology (ECE-12 @ 1.00)</t>
  </si>
  <si>
    <t>Art &amp; Music FTE</t>
  </si>
  <si>
    <t>Art &amp; Music Supplies $ (K-8 @ 1.00)</t>
  </si>
  <si>
    <t>Textbooks - Fund 16 (K-12 @ 1.00)</t>
  </si>
  <si>
    <t>Library Books Centrally Managed Fund 12 (ECE-12 @ 1.00)</t>
  </si>
  <si>
    <t>ECE (approx $90,000 per slot)</t>
  </si>
  <si>
    <t>KINDER (approx $90,000 per slot)</t>
  </si>
  <si>
    <t>Title I (K-12 K=.5 FRL)</t>
  </si>
  <si>
    <t>Title II (K-12 K=.5)</t>
  </si>
  <si>
    <t>BASE CALCULATION</t>
  </si>
  <si>
    <t>Total K-12 (K=.5)</t>
  </si>
  <si>
    <t>Base Dollars</t>
  </si>
  <si>
    <t>Base Difference From ES</t>
  </si>
  <si>
    <t>Minimum allocation</t>
  </si>
  <si>
    <t>Additional $ before offset</t>
  </si>
  <si>
    <t>Additional $ after offset</t>
  </si>
  <si>
    <t>Total resources to school</t>
  </si>
  <si>
    <t>MILD MODERATE CALCULATION</t>
  </si>
  <si>
    <t>This Year's Free &amp; Reduced Lunch %</t>
  </si>
  <si>
    <t>CALCULATED FRL (K=.5)</t>
  </si>
  <si>
    <t>CALCULATED Non-FRL (K=.5)</t>
  </si>
  <si>
    <t>$ for FRL</t>
  </si>
  <si>
    <t>$ for Non-FRL</t>
  </si>
  <si>
    <t>M/M Enrollment</t>
  </si>
  <si>
    <t>FTE ratio - Elem 19:1 - MS 21:1 - HS 23:1</t>
  </si>
  <si>
    <t>Total Allocation for MM</t>
  </si>
  <si>
    <t>FTE Dollars MM (min)</t>
  </si>
  <si>
    <t>Shortage
(New Monies)</t>
  </si>
  <si>
    <t>Overage</t>
  </si>
  <si>
    <t>Hurdle</t>
  </si>
  <si>
    <t>Total M/M resources to school</t>
  </si>
  <si>
    <t>RATIOS</t>
  </si>
  <si>
    <t>FREE LUNCH CALCULATION</t>
  </si>
  <si>
    <t>Total 1-12 Enrollment</t>
  </si>
  <si>
    <t>This Year's Free Lunch %</t>
  </si>
  <si>
    <t>CALCULATED Free Lunch</t>
  </si>
  <si>
    <t>CALCULATED Non-Free Lunch</t>
  </si>
  <si>
    <t>Min Allocation</t>
  </si>
  <si>
    <t>New Money</t>
  </si>
  <si>
    <t>STUDENT SERVICE DAYS CALCULATION</t>
  </si>
  <si>
    <t>Total
K-12 (K=.5)</t>
  </si>
  <si>
    <t>CALCULATED FL (K=.5)</t>
  </si>
  <si>
    <t>CALCULATED Non-FL (K=.5)</t>
  </si>
  <si>
    <t>$ for every student</t>
  </si>
  <si>
    <t>$ for Free Lunch</t>
  </si>
  <si>
    <t>$ Center Pgms</t>
  </si>
  <si>
    <t>Center Programs this Year</t>
  </si>
  <si>
    <t>Total</t>
  </si>
  <si>
    <t>Minimum Nurse</t>
  </si>
  <si>
    <t>Minimum Mental Health</t>
  </si>
  <si>
    <t>FTE Dollars</t>
  </si>
  <si>
    <t>Shortage (New Monies)</t>
  </si>
  <si>
    <t>Total PSN resources to school</t>
  </si>
  <si>
    <t>Average Salary Days</t>
  </si>
  <si>
    <t>Student Service Days</t>
  </si>
  <si>
    <t>$ Per Student</t>
  </si>
  <si>
    <t>MIN NURSE</t>
  </si>
  <si>
    <t xml:space="preserve">ELA </t>
  </si>
  <si>
    <t>Total # of Projected ELL</t>
  </si>
  <si>
    <t xml:space="preserve">Less minimum funding level </t>
  </si>
  <si>
    <t>Revenue</t>
  </si>
  <si>
    <t>Revenue - Table 1</t>
  </si>
  <si>
    <t>YEAR 0</t>
  </si>
  <si>
    <t>YEAR 1</t>
  </si>
  <si>
    <t>YEAR 2</t>
  </si>
  <si>
    <t>YEAR 3</t>
  </si>
  <si>
    <t>YEAR 4</t>
  </si>
  <si>
    <t>YEAR 5</t>
  </si>
  <si>
    <t>TOTAL</t>
  </si>
  <si>
    <t>GENERAL FUND</t>
  </si>
  <si>
    <t>Per Pupil Base Funding (Total of lines 14-18)</t>
  </si>
  <si>
    <t>HIDE</t>
  </si>
  <si>
    <t>SBB Base Allocation</t>
  </si>
  <si>
    <t>GF Instructional $</t>
  </si>
  <si>
    <t>Instructional Supplies</t>
  </si>
  <si>
    <t>Guest Teacher Allocation</t>
  </si>
  <si>
    <t>Guest Teacher Allocation (Substitutes)</t>
  </si>
  <si>
    <t>Minimum Allocation - SS</t>
  </si>
  <si>
    <t>Student Service Minimum Allocation</t>
  </si>
  <si>
    <t>GF Free Lunch Supp Funds $</t>
  </si>
  <si>
    <t>Free Lunch Supp Funds (At-Risk)</t>
  </si>
  <si>
    <t>Total Resources to School - GT</t>
  </si>
  <si>
    <t>GT Allocation</t>
  </si>
  <si>
    <t>GF MM $</t>
  </si>
  <si>
    <t>Mild Moderate Allocation</t>
  </si>
  <si>
    <t>GF ESL and ELA $</t>
  </si>
  <si>
    <t>English Language Learners</t>
  </si>
  <si>
    <t>MILL LEVY ALLOCATIONS</t>
  </si>
  <si>
    <t>1998 Mill Levy Facilitator $</t>
  </si>
  <si>
    <t>Student Literacy Development (Facilitator)</t>
  </si>
  <si>
    <t>1998 Mill Levy Technology $</t>
  </si>
  <si>
    <t>Technology</t>
  </si>
  <si>
    <t>2003 Mill Levy Arts $</t>
  </si>
  <si>
    <t>Art &amp; Music</t>
  </si>
  <si>
    <t>2003 Mill Levy Text book $</t>
  </si>
  <si>
    <t>Textbooks - Fund 16</t>
  </si>
  <si>
    <t>1998 Mill Levy Library $</t>
  </si>
  <si>
    <t>Library Books Centrally Managed Fund 12</t>
  </si>
  <si>
    <t>1998 &amp; 2003 MILL LEVY FUNDS</t>
  </si>
  <si>
    <t>ECE &amp; KINDER ALLOCATIONS</t>
  </si>
  <si>
    <t>Special ECE Tuition Base $</t>
  </si>
  <si>
    <t>ECE - Includes Teachers, paras and supplies</t>
  </si>
  <si>
    <t>CPP - ECE $</t>
  </si>
  <si>
    <t>Kinder - Includes Teachers, paras and supplies required to match Kinder FTE's</t>
  </si>
  <si>
    <t>ECE &amp; KINDER FUNDS</t>
  </si>
  <si>
    <t>STATE AND FEDERAL FUNDING SOURCES</t>
  </si>
  <si>
    <t>Title I Total $</t>
  </si>
  <si>
    <t>Title I</t>
  </si>
  <si>
    <t>Title II Facilitators $</t>
  </si>
  <si>
    <t>Title II - Student Literacy Development (Facilitator)</t>
  </si>
  <si>
    <t>ELA Para Dollars ELAPA and Title III</t>
  </si>
  <si>
    <t>ELPA Para Dollars</t>
  </si>
  <si>
    <t>Native Language Tutor Dollars</t>
  </si>
  <si>
    <t>Title III - Native Language Tutor</t>
  </si>
  <si>
    <t>OTHER FUNDING SOURCES</t>
  </si>
  <si>
    <t>Mill Levy SIG</t>
  </si>
  <si>
    <t>Start up Funding</t>
  </si>
  <si>
    <t>Grant Funding</t>
  </si>
  <si>
    <t>GF Share of Benefits $</t>
  </si>
  <si>
    <t>TOTAL OTHER FUNDING SOURCES</t>
  </si>
  <si>
    <t>GRAND TOTAL ALL FUNDS</t>
  </si>
  <si>
    <t>Staffing Tool</t>
  </si>
  <si>
    <t>Staffing Tool - Table 1</t>
  </si>
  <si>
    <t>INFORMATIONAL - REQUIRED PURCHASES</t>
  </si>
  <si>
    <t>Nurse Days</t>
  </si>
  <si>
    <t>Mental Health Days</t>
  </si>
  <si>
    <t>Mild Moderate FTE</t>
  </si>
  <si>
    <t>Arts FTEs</t>
  </si>
  <si>
    <t>Arts Purchase General Fund</t>
  </si>
  <si>
    <t>Arts Purchase Mill Levy</t>
  </si>
  <si>
    <t>JOB CODE</t>
  </si>
  <si>
    <t>Type</t>
  </si>
  <si>
    <t>SALARY COST</t>
  </si>
  <si>
    <t>GF BENEFIT COST</t>
  </si>
  <si>
    <t>NON-GF BENEFIT COST</t>
  </si>
  <si>
    <t>GENERAL FUND AVERAGE SALARY + BENEFITS</t>
  </si>
  <si>
    <t>NON-GENERAL FUND AVERAGE SALARY + BENEFITS</t>
  </si>
  <si>
    <t>YEAR 1 AVERAGE</t>
  </si>
  <si>
    <t>YEAR 2 AVERAGE</t>
  </si>
  <si>
    <t>YEAR 3 AVERAGE</t>
  </si>
  <si>
    <t>YEAR 4 AVEARGE</t>
  </si>
  <si>
    <t>YEAR 5 AVERAGE</t>
  </si>
  <si>
    <t>YEAR 0 - FTE/HOURS</t>
  </si>
  <si>
    <t>YEAR 0 -            $</t>
  </si>
  <si>
    <t>YEAR 1 - FTE/HOURS</t>
  </si>
  <si>
    <t>YEAR 1 -            $</t>
  </si>
  <si>
    <t>YEAR 2 - FTE/HOURS</t>
  </si>
  <si>
    <t>YEAR 2 -            $</t>
  </si>
  <si>
    <t>YEAR 3 - FTE/HOURS</t>
  </si>
  <si>
    <t>YEAR 3 -            $</t>
  </si>
  <si>
    <t>YEAR 4 - FTE/HOURS</t>
  </si>
  <si>
    <t>YEAR 4 -            $</t>
  </si>
  <si>
    <t>YEAR 5 - FTE/HOURS</t>
  </si>
  <si>
    <t>YEAR 5 -            $</t>
  </si>
  <si>
    <t>PART TIME</t>
  </si>
  <si>
    <t>PARAPROFESSIONALS</t>
  </si>
  <si>
    <t>PART TIME TOTAL</t>
  </si>
  <si>
    <t>CLASSROOM STAFF</t>
  </si>
  <si>
    <t>3328</t>
  </si>
  <si>
    <t>Intervention Teacher</t>
  </si>
  <si>
    <t>3302</t>
  </si>
  <si>
    <t>Regular/Supplemental Teacher</t>
  </si>
  <si>
    <t>Gifted &amp; Talented Teacher</t>
  </si>
  <si>
    <t>3329</t>
  </si>
  <si>
    <t>Gifted &amp; Talented Itinerant Teacher</t>
  </si>
  <si>
    <t>3337</t>
  </si>
  <si>
    <t>Mild/Moderate Teacher</t>
  </si>
  <si>
    <t>ESL / Zone Teacher</t>
  </si>
  <si>
    <t>Arts Teacher</t>
  </si>
  <si>
    <t>3306</t>
  </si>
  <si>
    <t>Libarian</t>
  </si>
  <si>
    <t>7300</t>
  </si>
  <si>
    <t>Library Tech</t>
  </si>
  <si>
    <t>3362</t>
  </si>
  <si>
    <t>Guidance Counselor</t>
  </si>
  <si>
    <t>3372</t>
  </si>
  <si>
    <t>Student Advisor</t>
  </si>
  <si>
    <t>1401</t>
  </si>
  <si>
    <t>Mental Health FTE (Psych and/or Social Worker)</t>
  </si>
  <si>
    <t>1530</t>
  </si>
  <si>
    <t>Nurse FTE</t>
  </si>
  <si>
    <t>3382</t>
  </si>
  <si>
    <t>Administrative Assistant</t>
  </si>
  <si>
    <t>3332</t>
  </si>
  <si>
    <t>General Fund Facilitator, Humanities</t>
  </si>
  <si>
    <t>3407</t>
  </si>
  <si>
    <t>Lead Teacher</t>
  </si>
  <si>
    <t>CLASSROOM STAFF TOTAL</t>
  </si>
  <si>
    <t>PRO TECH STAFF</t>
  </si>
  <si>
    <t>6339</t>
  </si>
  <si>
    <t>LPN</t>
  </si>
  <si>
    <t>6282</t>
  </si>
  <si>
    <t>Community Liaison 233</t>
  </si>
  <si>
    <t>6123</t>
  </si>
  <si>
    <t>SFPC Liaison Specialist 200</t>
  </si>
  <si>
    <t>6354</t>
  </si>
  <si>
    <t>Educational ProTech 200</t>
  </si>
  <si>
    <t>6327</t>
  </si>
  <si>
    <t>Media Technician 200</t>
  </si>
  <si>
    <t>6226</t>
  </si>
  <si>
    <t>School PC Apps Specialist 220</t>
  </si>
  <si>
    <t>9685</t>
  </si>
  <si>
    <t>School Technology Spec I 212</t>
  </si>
  <si>
    <t>9686</t>
  </si>
  <si>
    <t>School Technology Spec II 212</t>
  </si>
  <si>
    <t>9687</t>
  </si>
  <si>
    <t>School Technology Spec III 212</t>
  </si>
  <si>
    <t>9638</t>
  </si>
  <si>
    <t>Specialist I, PC Apps 240</t>
  </si>
  <si>
    <t>6169</t>
  </si>
  <si>
    <t>Project Coordinator 184</t>
  </si>
  <si>
    <t>9644</t>
  </si>
  <si>
    <t>Project Coordinator 240</t>
  </si>
  <si>
    <t>PRO TECH STAFF TOTAL</t>
  </si>
  <si>
    <t>ADMINISTRATIVE STAFF</t>
  </si>
  <si>
    <t>Asst. Principal</t>
  </si>
  <si>
    <t>Business Manager</t>
  </si>
  <si>
    <t>ADMINISTRATIVE STAFF TOTAL</t>
  </si>
  <si>
    <t>CLERICAL STAFF</t>
  </si>
  <si>
    <t>1749</t>
  </si>
  <si>
    <t>Elementary Secretary I</t>
  </si>
  <si>
    <t>1706</t>
  </si>
  <si>
    <t>Elementary Secretary II</t>
  </si>
  <si>
    <t>1614</t>
  </si>
  <si>
    <t>Elementary Bookkeeper II</t>
  </si>
  <si>
    <t>1711</t>
  </si>
  <si>
    <t>Elementary Office Support I</t>
  </si>
  <si>
    <t>1709</t>
  </si>
  <si>
    <t>Elementary Office Support II</t>
  </si>
  <si>
    <t>1722</t>
  </si>
  <si>
    <t>Elementary Office Support III</t>
  </si>
  <si>
    <t>1702</t>
  </si>
  <si>
    <t>Secondary Secretary I</t>
  </si>
  <si>
    <t>1704</t>
  </si>
  <si>
    <t>Secondary Secretary II</t>
  </si>
  <si>
    <t>1613</t>
  </si>
  <si>
    <t>Secondary Bookkeeper II</t>
  </si>
  <si>
    <t>1718</t>
  </si>
  <si>
    <t>Secondary Office Support I</t>
  </si>
  <si>
    <t>1716</t>
  </si>
  <si>
    <t>Secondary Office Support II</t>
  </si>
  <si>
    <t>1717</t>
  </si>
  <si>
    <t>Secondary Office Support III</t>
  </si>
  <si>
    <t>CLERICAL STAFF TOTAL</t>
  </si>
  <si>
    <t>GRAND TOTAL FULL TIME</t>
  </si>
  <si>
    <t>Non-Salary</t>
  </si>
  <si>
    <t>Non-Salary - Table 1</t>
  </si>
  <si>
    <t>DESCRIPTION</t>
  </si>
  <si>
    <t>GENERAL SUPPLIES</t>
  </si>
  <si>
    <t>LIBRARYGENERAL SUPPLIES</t>
  </si>
  <si>
    <t>COPYING</t>
  </si>
  <si>
    <t>TRANSPORTATION/FIELD TRIPS</t>
  </si>
  <si>
    <t>NON-CAPITAL EQUIPMENT</t>
  </si>
  <si>
    <t>BOOKS AND PERIODICALS</t>
  </si>
  <si>
    <t>OTHER PROFESSIONAL SERVICES</t>
  </si>
  <si>
    <t>REPAIRS AND MAINTENANCE SVCS</t>
  </si>
  <si>
    <t>TRAVEL AND REGISTRATION</t>
  </si>
  <si>
    <t>DUES AND FEES</t>
  </si>
  <si>
    <t>ENROLLMENT HOLDING</t>
  </si>
  <si>
    <t>STAFF DEVELOPMENT</t>
  </si>
  <si>
    <t>MILEAGE</t>
  </si>
  <si>
    <t>GUEST TEACHERS (SUBSTITUTES)</t>
  </si>
  <si>
    <t>OVERTIME</t>
  </si>
  <si>
    <t>EXTRA PAY</t>
  </si>
  <si>
    <t>PARENT INVLOVEMENT</t>
  </si>
  <si>
    <t>NON-SALARY ACCOUNTS TOTAL</t>
  </si>
  <si>
    <t>OTHER TOTAL</t>
  </si>
  <si>
    <t>DISTRIBUTED BUDGET TOTAL</t>
  </si>
  <si>
    <t>Totals</t>
  </si>
  <si>
    <t>Totals - Table 1</t>
  </si>
  <si>
    <t>REMAINING BALANCE TO DISTRIBUTE</t>
  </si>
  <si>
    <t>ADMINISTRATIVE FULL TIME STAFF</t>
  </si>
  <si>
    <t>TEACHING FULL TIME STAFF</t>
  </si>
  <si>
    <t>PRO-TECH FULL TIME STAFF</t>
  </si>
  <si>
    <t>CLERICAL FULL TIME STAFF</t>
  </si>
  <si>
    <t>FT ACCOUNTS TOTAL</t>
  </si>
  <si>
    <t>PART TIME ACCOUNTS TOTAL</t>
  </si>
  <si>
    <t>AVERAGE SALARY LOOKUP</t>
  </si>
  <si>
    <t>AVERAGE SALARY LOOKUP - Table 1</t>
  </si>
  <si>
    <t>Fund 10,12,16</t>
  </si>
  <si>
    <t>Fund 19</t>
  </si>
  <si>
    <t>Fund 20-28</t>
  </si>
  <si>
    <t>Fund 29</t>
  </si>
  <si>
    <t>JOB DESCRIPTION</t>
  </si>
  <si>
    <t>BARGAINING</t>
  </si>
  <si>
    <t xml:space="preserve">AVERAGE SALARY </t>
  </si>
  <si>
    <t>AVERAGE HOURLY</t>
  </si>
  <si>
    <t>FT BENEFITS</t>
  </si>
  <si>
    <t>PRINCIPAL, ASST ELEM SCH</t>
  </si>
  <si>
    <t>ADMN</t>
  </si>
  <si>
    <t>PRINCIPAL, ASST HIGH SCH</t>
  </si>
  <si>
    <t>PRINCIPAL, ASST MIDDLE SCH.</t>
  </si>
  <si>
    <t>PRINCIPAL, ELEMENTARY</t>
  </si>
  <si>
    <t>PRINCIPAL, HIGH SCHOOL</t>
  </si>
  <si>
    <t>PRINCIPAL, MIDDLE SCHOOL</t>
  </si>
  <si>
    <t>MANAGER, BUSINESS ELEM</t>
  </si>
  <si>
    <t>MANAGER, BUSINESS MS</t>
  </si>
  <si>
    <t>MANAGER, BUSINESS HS</t>
  </si>
  <si>
    <t>MGR, SCHL OFFICE ELEM</t>
  </si>
  <si>
    <t>0726</t>
  </si>
  <si>
    <t>MGR, SCHL OFFICE MS</t>
  </si>
  <si>
    <t>MGR, SCHL OFFICE HS</t>
  </si>
  <si>
    <t xml:space="preserve">NURSE </t>
  </si>
  <si>
    <t>DCTA</t>
  </si>
  <si>
    <t>1511</t>
  </si>
  <si>
    <t>PSYCHOLOGIST</t>
  </si>
  <si>
    <t>SOCIAL WORKER</t>
  </si>
  <si>
    <t>BOOKKEEPER II</t>
  </si>
  <si>
    <t>DAEO</t>
  </si>
  <si>
    <t>Office Support II - 200 Day</t>
  </si>
  <si>
    <t>2401</t>
  </si>
  <si>
    <t>VEHICLE MAINTENANCE TECH</t>
  </si>
  <si>
    <t>AMLG</t>
  </si>
  <si>
    <t>3300</t>
  </si>
  <si>
    <t xml:space="preserve">TEACHER, HIGH SCH    </t>
  </si>
  <si>
    <t>3301</t>
  </si>
  <si>
    <t xml:space="preserve">TEACHER, MID SCH    </t>
  </si>
  <si>
    <t xml:space="preserve">TEACHER, ELEM    </t>
  </si>
  <si>
    <t>3305</t>
  </si>
  <si>
    <t>TEACHER ON SPECIAL ASSGNMT</t>
  </si>
  <si>
    <t>3307</t>
  </si>
  <si>
    <t>LIBRARY MEDIA SPEC, M S</t>
  </si>
  <si>
    <t>3308</t>
  </si>
  <si>
    <t>LIBRARY MEDIA SPEC, H S</t>
  </si>
  <si>
    <t>TEACHER, INTERVENTION</t>
  </si>
  <si>
    <t>TEACHER, ITINERANT</t>
  </si>
  <si>
    <t>3330</t>
  </si>
  <si>
    <t xml:space="preserve">TEACHER, SPEC ED CENTER PRG   </t>
  </si>
  <si>
    <t>FACILITATOR, ELEM HUMANITIES</t>
  </si>
  <si>
    <t>3333</t>
  </si>
  <si>
    <t>FACILITATOR, ELEM MATH/SCIENCE</t>
  </si>
  <si>
    <t>3334</t>
  </si>
  <si>
    <t xml:space="preserve">FACILITATOR, SECONDARY MATH/SCI </t>
  </si>
  <si>
    <t>3335</t>
  </si>
  <si>
    <t>FACILITATOR, SECONDARY HUMANITIES</t>
  </si>
  <si>
    <t>3338</t>
  </si>
  <si>
    <t>TEACHER, SPD MID MOD NDS</t>
  </si>
  <si>
    <t>3339</t>
  </si>
  <si>
    <t>TEACHER, SPD HS MOD NDS</t>
  </si>
  <si>
    <t>3360</t>
  </si>
  <si>
    <t xml:space="preserve">SCH COUNSLR, HIGH    </t>
  </si>
  <si>
    <t>3361</t>
  </si>
  <si>
    <t xml:space="preserve">SCH COUNSLR, MIDD   </t>
  </si>
  <si>
    <t xml:space="preserve">SCH COUNSLR, ELEM    </t>
  </si>
  <si>
    <t>3370</t>
  </si>
  <si>
    <t xml:space="preserve">STDNT ADVSR, HIGH    </t>
  </si>
  <si>
    <t>3371</t>
  </si>
  <si>
    <t xml:space="preserve">STDNT ADVSR, MIDD    </t>
  </si>
  <si>
    <t xml:space="preserve">STUDENT ADVISOR, ELEM SCH   </t>
  </si>
  <si>
    <t>3381</t>
  </si>
  <si>
    <t xml:space="preserve">TCHR ADM ASST, MS    </t>
  </si>
  <si>
    <t xml:space="preserve">TCHR ADM ASST, ES    </t>
  </si>
  <si>
    <t>3383</t>
  </si>
  <si>
    <t>TCHR ADMIN ASST, HS SCH</t>
  </si>
  <si>
    <t>3385</t>
  </si>
  <si>
    <t>TEACHER, SITE COORDINATOR</t>
  </si>
  <si>
    <t>TEACHER, LEAD</t>
  </si>
  <si>
    <t xml:space="preserve">SFPC LIAISON SPECIALIST </t>
  </si>
  <si>
    <t>NONE</t>
  </si>
  <si>
    <t>6167</t>
  </si>
  <si>
    <t>ADMIN INTERN, MIDDLE</t>
  </si>
  <si>
    <t xml:space="preserve">PROJECT COORDINATOR </t>
  </si>
  <si>
    <t>SCHOOL PC APPS SPECIALIST 220</t>
  </si>
  <si>
    <t>6281</t>
  </si>
  <si>
    <t>SCHOOL COMMUNITY LIAISON</t>
  </si>
  <si>
    <t>COMMUNITY LIAISON</t>
  </si>
  <si>
    <t>MEDIA TECHNICIAN</t>
  </si>
  <si>
    <t>LICENSED PRACTICAL NURSE</t>
  </si>
  <si>
    <t>EDUCATIONAL PROTECH</t>
  </si>
  <si>
    <t>LIBRARY TECH I</t>
  </si>
  <si>
    <t>PARA</t>
  </si>
  <si>
    <t>SPECIALIST I, PC APP</t>
  </si>
  <si>
    <t>COORDINATOR, PROJECT</t>
  </si>
  <si>
    <t>SCHOOL TECHNOLOGY SPEC I</t>
  </si>
  <si>
    <t>SCHOOL TECHNOLOGY SPEC II</t>
  </si>
  <si>
    <t>SCHOOL TECHNOLOGY SPEC III</t>
  </si>
  <si>
    <t>0100</t>
  </si>
  <si>
    <t>CHIEF COMM ENGAGE OFFICER</t>
  </si>
  <si>
    <t>0101</t>
  </si>
  <si>
    <t>CHIEF COMM OFFICER</t>
  </si>
  <si>
    <t>0102</t>
  </si>
  <si>
    <t>ASST TO SUPT, REFORM-INNO</t>
  </si>
  <si>
    <t>0107</t>
  </si>
  <si>
    <t>CHIEF ACADEMIC OFFICER</t>
  </si>
  <si>
    <t>0108</t>
  </si>
  <si>
    <t>CHIEF OF STAFF</t>
  </si>
  <si>
    <t>0110</t>
  </si>
  <si>
    <t>CHIEF FINANCIAL OFFICER</t>
  </si>
  <si>
    <t>0111</t>
  </si>
  <si>
    <t>SR ACADEMIC POLICY ADVISOR</t>
  </si>
  <si>
    <t>0112</t>
  </si>
  <si>
    <t>DIR, BUS PARTNRS/INITIATVS</t>
  </si>
  <si>
    <t>0114</t>
  </si>
  <si>
    <t>CHIEF TECHNOLOGY OFFICER</t>
  </si>
  <si>
    <t>0115</t>
  </si>
  <si>
    <t>CHIEF OPERATING OFFICER</t>
  </si>
  <si>
    <t>0118</t>
  </si>
  <si>
    <t>DEPUTY CAO</t>
  </si>
  <si>
    <t>0121</t>
  </si>
  <si>
    <t>GENERAL COUNSEL</t>
  </si>
  <si>
    <t>0122</t>
  </si>
  <si>
    <t>SUPT, INSTRUCTIONAL</t>
  </si>
  <si>
    <t>0125</t>
  </si>
  <si>
    <t>SUPERINTENDENT</t>
  </si>
  <si>
    <t>0126</t>
  </si>
  <si>
    <t>CHIEF HUMAN RESOURCES OFFICER</t>
  </si>
  <si>
    <t>0127</t>
  </si>
  <si>
    <t>CHIEF STRATEGY OFFICER</t>
  </si>
  <si>
    <t>0129</t>
  </si>
  <si>
    <t>DEPUTY DIRECTOR</t>
  </si>
  <si>
    <t>0131</t>
  </si>
  <si>
    <t>SENIOR OFFICER/COUNSEL</t>
  </si>
  <si>
    <t>0132</t>
  </si>
  <si>
    <t>EXEC DIR, BUDGET/FINANCE</t>
  </si>
  <si>
    <t>0133</t>
  </si>
  <si>
    <t>DIR, GIFTED/TALENTED ED</t>
  </si>
  <si>
    <t>0135</t>
  </si>
  <si>
    <t>EXEC DIRECTOR</t>
  </si>
  <si>
    <t>0137</t>
  </si>
  <si>
    <t>DIR, PROCESS IMPROVEMENT</t>
  </si>
  <si>
    <t>0212</t>
  </si>
  <si>
    <t>DIR, EGOS</t>
  </si>
  <si>
    <t>0216</t>
  </si>
  <si>
    <t>MANAGER, EGOS</t>
  </si>
  <si>
    <t>PRINCIPAL, ECE-8</t>
  </si>
  <si>
    <t>0218</t>
  </si>
  <si>
    <t>MANAGER, EGOS TRAINING</t>
  </si>
  <si>
    <t>PRINCIPAL, ASST ECE-8</t>
  </si>
  <si>
    <t>0237</t>
  </si>
  <si>
    <t>EXEC DIR, OFFICE OF NEW SCHOOLS</t>
  </si>
  <si>
    <t>0239</t>
  </si>
  <si>
    <t>PRINCIPAL, ALTERNATIVE 204</t>
  </si>
  <si>
    <t>0242</t>
  </si>
  <si>
    <t>PRINCIPAL, SPECIAL ASSGN</t>
  </si>
  <si>
    <t>0243</t>
  </si>
  <si>
    <t>PRINCIPAL, EGOS  I</t>
  </si>
  <si>
    <t>0249</t>
  </si>
  <si>
    <t>PROJECT MANAGER</t>
  </si>
  <si>
    <t>0250</t>
  </si>
  <si>
    <t>EXEC DIR, TRANSPORTATION</t>
  </si>
  <si>
    <t>0252</t>
  </si>
  <si>
    <t>EXEC DIR, FACILITY MGMT</t>
  </si>
  <si>
    <t>0254</t>
  </si>
  <si>
    <t>EXEC DIR, CURR/INSTRC SVCS</t>
  </si>
  <si>
    <t>0256</t>
  </si>
  <si>
    <t>EXEC DIR, STUDENT SERVICES</t>
  </si>
  <si>
    <t>0258</t>
  </si>
  <si>
    <t>DIR, DEPT ENG LANG ACQUIS</t>
  </si>
  <si>
    <t>0260</t>
  </si>
  <si>
    <t>EXEC DIR, FOOD SERVICES</t>
  </si>
  <si>
    <t>0263</t>
  </si>
  <si>
    <t>EXEC DIR, COMM ENGAGEMENT</t>
  </si>
  <si>
    <t>0264</t>
  </si>
  <si>
    <t>DIR, ATHLETICS</t>
  </si>
  <si>
    <t>0267</t>
  </si>
  <si>
    <t>DIR, ALTERNATIVE EDUCATION</t>
  </si>
  <si>
    <t>0268</t>
  </si>
  <si>
    <t>CHIEF OF SECURITY</t>
  </si>
  <si>
    <t>0270</t>
  </si>
  <si>
    <t>DIR, SPECIAL EDUCATION</t>
  </si>
  <si>
    <t>0271</t>
  </si>
  <si>
    <t>DIR, PRVNTN &amp; INTRVNT INIT</t>
  </si>
  <si>
    <t>0272</t>
  </si>
  <si>
    <t>DIR, COMM/MULTICULT OUTRCH</t>
  </si>
  <si>
    <t>0273</t>
  </si>
  <si>
    <t>DIR, EARLY CHILD EDUC</t>
  </si>
  <si>
    <t>0275</t>
  </si>
  <si>
    <t>DIR, DISTANCE LEARNING</t>
  </si>
  <si>
    <t>0278</t>
  </si>
  <si>
    <t>DIR, PLANNING &amp; RESEARCH</t>
  </si>
  <si>
    <t>0281</t>
  </si>
  <si>
    <t>DIRECTOR, STD SVC DATA MGT</t>
  </si>
  <si>
    <t>0283</t>
  </si>
  <si>
    <t>DIR, LEADERSHIP DEVELOPMENT</t>
  </si>
  <si>
    <t>0286</t>
  </si>
  <si>
    <t>DIRECTOR, SCHOOL OF CHOICE</t>
  </si>
  <si>
    <t>0289</t>
  </si>
  <si>
    <t>DIR, STRATEGY</t>
  </si>
  <si>
    <t>0294</t>
  </si>
  <si>
    <t>DIR, HUMAN RESOURCES</t>
  </si>
  <si>
    <t>0295</t>
  </si>
  <si>
    <t>DIR, HRIS</t>
  </si>
  <si>
    <t>0297</t>
  </si>
  <si>
    <t>DIRECTOR, PLANNING</t>
  </si>
  <si>
    <t>0304</t>
  </si>
  <si>
    <t>MANAGER IV</t>
  </si>
  <si>
    <t>0305</t>
  </si>
  <si>
    <t>MANAGER, ERCM</t>
  </si>
  <si>
    <t>0310</t>
  </si>
  <si>
    <t>MANAGER, BALARAT</t>
  </si>
  <si>
    <t>0319</t>
  </si>
  <si>
    <t>DIR, STUDENT RE-ENGAGEMENT</t>
  </si>
  <si>
    <t>0321</t>
  </si>
  <si>
    <t>DEPUTY DIR, POST-SEC READI</t>
  </si>
  <si>
    <t>0322</t>
  </si>
  <si>
    <t>DIR, COMMUNITY SCHOOLS</t>
  </si>
  <si>
    <t>0325</t>
  </si>
  <si>
    <t>DIR, BOND CONSTRUCTION</t>
  </si>
  <si>
    <t>0327</t>
  </si>
  <si>
    <t>SR DIRECTOR</t>
  </si>
  <si>
    <t>0335</t>
  </si>
  <si>
    <t>DIR, CO MEDICAID CONS</t>
  </si>
  <si>
    <t>0345</t>
  </si>
  <si>
    <t>DIR, TITLE I</t>
  </si>
  <si>
    <t>0348</t>
  </si>
  <si>
    <t>DEPUTY GENL CNSL VAR CONT</t>
  </si>
  <si>
    <t>0373</t>
  </si>
  <si>
    <t>ASSISTANT TO THE TREASURER</t>
  </si>
  <si>
    <t>0392</t>
  </si>
  <si>
    <t>DIR, LITERACY</t>
  </si>
  <si>
    <t>0396</t>
  </si>
  <si>
    <t>DIR, CURRICULUM/INSTRUCTN</t>
  </si>
  <si>
    <t>0401</t>
  </si>
  <si>
    <t>MANAGER, MAST</t>
  </si>
  <si>
    <t>0402</t>
  </si>
  <si>
    <t>MANAGER, PSYCHOLOGICAL SVC</t>
  </si>
  <si>
    <t>0403</t>
  </si>
  <si>
    <t>MGR, EDUCATIONAL PROJECT</t>
  </si>
  <si>
    <t>0404</t>
  </si>
  <si>
    <t>MANAGER, NURSING SERVICES</t>
  </si>
  <si>
    <t>0406</t>
  </si>
  <si>
    <t>MANAGER, GIFTED/TALENTED</t>
  </si>
  <si>
    <t>0408</t>
  </si>
  <si>
    <t>MANAGER, SPECIAL ED PROG</t>
  </si>
  <si>
    <t>0410</t>
  </si>
  <si>
    <t>MANAGER, ECE</t>
  </si>
  <si>
    <t>0420</t>
  </si>
  <si>
    <t>MANAGER, STRATEGY</t>
  </si>
  <si>
    <t>0421</t>
  </si>
  <si>
    <t>MANAGER, QA</t>
  </si>
  <si>
    <t>0471</t>
  </si>
  <si>
    <t>MANAGER, SAFE/DRUG FREE SH</t>
  </si>
  <si>
    <t>0500</t>
  </si>
  <si>
    <t>MANAGER, PROG EVALUATION</t>
  </si>
  <si>
    <t>0503</t>
  </si>
  <si>
    <t>MANAGER, PURCHASING</t>
  </si>
  <si>
    <t>0510</t>
  </si>
  <si>
    <t>MANAGER, DENVER KIDS INC</t>
  </si>
  <si>
    <t>0514</t>
  </si>
  <si>
    <t>MANAGER, ELA PROGRAM</t>
  </si>
  <si>
    <t>0600</t>
  </si>
  <si>
    <t>MANAGER, ASSET</t>
  </si>
  <si>
    <t>0601</t>
  </si>
  <si>
    <t>MANAGER, HUBS</t>
  </si>
  <si>
    <t>0606</t>
  </si>
  <si>
    <t>MANAGER, ACCOUNTS PAYABLE</t>
  </si>
  <si>
    <t>0607</t>
  </si>
  <si>
    <t>MANAGER, DISBURSING</t>
  </si>
  <si>
    <t>0609</t>
  </si>
  <si>
    <t>MANAGER, FINANCE</t>
  </si>
  <si>
    <t>0610</t>
  </si>
  <si>
    <t>MANAGER, DISTRIBUTION</t>
  </si>
  <si>
    <t>0612</t>
  </si>
  <si>
    <t>MANAGER, FLEET OPERATIONS</t>
  </si>
  <si>
    <t>0619</t>
  </si>
  <si>
    <t>EQUIPMENT MAINT COORD</t>
  </si>
  <si>
    <t>0620</t>
  </si>
  <si>
    <t>MANAGER, CONTRACT</t>
  </si>
  <si>
    <t>0621</t>
  </si>
  <si>
    <t>MANAGER, PROGRAM</t>
  </si>
  <si>
    <t>0628</t>
  </si>
  <si>
    <t>MANAGER, ATHLETICS</t>
  </si>
  <si>
    <t>0650</t>
  </si>
  <si>
    <t>SUPV, INSTITUTIONAL RESEARCH</t>
  </si>
  <si>
    <t>0694</t>
  </si>
  <si>
    <t>MANAGER, SR</t>
  </si>
  <si>
    <t>0702</t>
  </si>
  <si>
    <t>MANAGER, TERMINAL OPERATNS</t>
  </si>
  <si>
    <t>0704</t>
  </si>
  <si>
    <t>MANAGER, TRAFFIC &amp; SAFETY</t>
  </si>
  <si>
    <t>0706</t>
  </si>
  <si>
    <t>SUPV, DRIVER TRAINING</t>
  </si>
  <si>
    <t>0708</t>
  </si>
  <si>
    <t>SUPV, DISTRICT WAREHOUSE</t>
  </si>
  <si>
    <t>0711</t>
  </si>
  <si>
    <t>SUPERVISOR</t>
  </si>
  <si>
    <t>0712</t>
  </si>
  <si>
    <t>SUPV, SR TRANSP FOREMAN</t>
  </si>
  <si>
    <t>0714</t>
  </si>
  <si>
    <t>SUPV, DRIVER/ROUTE</t>
  </si>
  <si>
    <t>0720</t>
  </si>
  <si>
    <t>SUPV, WORKERS COMPENSATION</t>
  </si>
  <si>
    <t>0730</t>
  </si>
  <si>
    <t>SUPV, NURSING SERVICES</t>
  </si>
  <si>
    <t>0740</t>
  </si>
  <si>
    <t>SUPERVISOR, HUMAN RESOURCES</t>
  </si>
  <si>
    <t>0901</t>
  </si>
  <si>
    <t>MANAGER, FACILITY I</t>
  </si>
  <si>
    <t>FMGR</t>
  </si>
  <si>
    <t>0902</t>
  </si>
  <si>
    <t>MANAGER, FACILITY II</t>
  </si>
  <si>
    <t>0903</t>
  </si>
  <si>
    <t>MANAGER, FACILITY III</t>
  </si>
  <si>
    <t>0908</t>
  </si>
  <si>
    <t>MANAGER, HRIS</t>
  </si>
  <si>
    <t>0915</t>
  </si>
  <si>
    <t>SUPERVISOR, AREA</t>
  </si>
  <si>
    <t>0920</t>
  </si>
  <si>
    <t>MANAGER, HUMAN RESOURCES</t>
  </si>
  <si>
    <t>0921</t>
  </si>
  <si>
    <t>MANAGER, BENEFITS/WC</t>
  </si>
  <si>
    <t>0929</t>
  </si>
  <si>
    <t>SUPV, HUMAN RESOURCES</t>
  </si>
  <si>
    <t>0931</t>
  </si>
  <si>
    <t>SUPV, PAYROLL</t>
  </si>
  <si>
    <t>0933</t>
  </si>
  <si>
    <t>MANAGER, PAYROLL</t>
  </si>
  <si>
    <t>1202</t>
  </si>
  <si>
    <t>DIR, PURCHASING</t>
  </si>
  <si>
    <t>1204</t>
  </si>
  <si>
    <t>MANAGER, RISK MANAGEMENT</t>
  </si>
  <si>
    <t>1302</t>
  </si>
  <si>
    <t>MANAGER, EGOS OPS/FIN PROG</t>
  </si>
  <si>
    <t>1500</t>
  </si>
  <si>
    <t xml:space="preserve">OCCUP THERAPIST, VAR CONT </t>
  </si>
  <si>
    <t>1520</t>
  </si>
  <si>
    <t xml:space="preserve">PHYSCL THERAPIST, VAR CONT </t>
  </si>
  <si>
    <t>1541</t>
  </si>
  <si>
    <t xml:space="preserve">SPECIAL EDUCATION ASST </t>
  </si>
  <si>
    <t>1554</t>
  </si>
  <si>
    <t>SPEECH LANG SPC, VAR CONT</t>
  </si>
  <si>
    <t>1570</t>
  </si>
  <si>
    <t xml:space="preserve">AUDIOLOGIST </t>
  </si>
  <si>
    <t>1590</t>
  </si>
  <si>
    <t>DISTRICT BUYER I</t>
  </si>
  <si>
    <t>1592</t>
  </si>
  <si>
    <t>DISTRICT BUYER II</t>
  </si>
  <si>
    <t>1601</t>
  </si>
  <si>
    <t>ACCOUNTANT II</t>
  </si>
  <si>
    <t>1602</t>
  </si>
  <si>
    <t>ACCOUNTING TECHNICIAN I</t>
  </si>
  <si>
    <t>1603</t>
  </si>
  <si>
    <t>ACCOUNTING TECHNICIAN II</t>
  </si>
  <si>
    <t>1612</t>
  </si>
  <si>
    <t>1626</t>
  </si>
  <si>
    <t>COUNTER CLERK</t>
  </si>
  <si>
    <t>GRND</t>
  </si>
  <si>
    <t>1627</t>
  </si>
  <si>
    <t>DISPATCH II</t>
  </si>
  <si>
    <t>1641</t>
  </si>
  <si>
    <t>SHIPPING &amp; RECEIVING CLERK</t>
  </si>
  <si>
    <t>1651</t>
  </si>
  <si>
    <t>WAREHOUSE WORKER II</t>
  </si>
  <si>
    <t>1663</t>
  </si>
  <si>
    <t>1673</t>
  </si>
  <si>
    <t>INVENTORY DATA SPECIALIST</t>
  </si>
  <si>
    <t>1674</t>
  </si>
  <si>
    <t>PARTS/TOOL RM/COUNTR CLERK</t>
  </si>
  <si>
    <t>1705</t>
  </si>
  <si>
    <t>1713</t>
  </si>
  <si>
    <t>1714</t>
  </si>
  <si>
    <t>1715</t>
  </si>
  <si>
    <t>1723</t>
  </si>
  <si>
    <t>SERVICE COOR CENTER (SCC) TECH</t>
  </si>
  <si>
    <t>1750</t>
  </si>
  <si>
    <t>SECRETARY I</t>
  </si>
  <si>
    <t>1751</t>
  </si>
  <si>
    <t>ASST/EXECUTIVE SECRETARY</t>
  </si>
  <si>
    <t>1753</t>
  </si>
  <si>
    <t>SECRETARY, EXECUTIVE I</t>
  </si>
  <si>
    <t>1754</t>
  </si>
  <si>
    <t>SECRETARY, EXECUTIVE II</t>
  </si>
  <si>
    <t>1755</t>
  </si>
  <si>
    <t>SECRETARY, EXECUTIVE III</t>
  </si>
  <si>
    <t>1756</t>
  </si>
  <si>
    <t>ADMINISTRATIVE ASSISTANT</t>
  </si>
  <si>
    <t>1804</t>
  </si>
  <si>
    <t>MILITARY PROP ASST CUST</t>
  </si>
  <si>
    <t>1828</t>
  </si>
  <si>
    <t>SUPV, ATHLETICS</t>
  </si>
  <si>
    <t>1902</t>
  </si>
  <si>
    <t>SUPV, MAINTENANCE OPERATNS</t>
  </si>
  <si>
    <t>1920</t>
  </si>
  <si>
    <t>SUPV, SENIOR ELECTRICAL</t>
  </si>
  <si>
    <t>1922</t>
  </si>
  <si>
    <t>SUPV, SENIOR PLUMBING</t>
  </si>
  <si>
    <t>1924</t>
  </si>
  <si>
    <t>SUPV, SR WELDING/SHEET METAL</t>
  </si>
  <si>
    <t>1925</t>
  </si>
  <si>
    <t>SUPV, PROTECTIVE COATINGS</t>
  </si>
  <si>
    <t>1926</t>
  </si>
  <si>
    <t>SUPV, SR PROTECTV COATINGS</t>
  </si>
  <si>
    <t>1930</t>
  </si>
  <si>
    <t>SUPV, SENIOR HVAC</t>
  </si>
  <si>
    <t>1931</t>
  </si>
  <si>
    <t>SUPV, SR STRUCTURAL SHOP</t>
  </si>
  <si>
    <t>1932</t>
  </si>
  <si>
    <t>SUPV, STRUCTURAL SHOP</t>
  </si>
  <si>
    <t>1940</t>
  </si>
  <si>
    <t>SUPV, ELECTRICAL</t>
  </si>
  <si>
    <t>1942</t>
  </si>
  <si>
    <t>SUPV, PLUMBING</t>
  </si>
  <si>
    <t>1948</t>
  </si>
  <si>
    <t>SUPV, GROUNDS</t>
  </si>
  <si>
    <t>1950</t>
  </si>
  <si>
    <t>SUPV, HVAC</t>
  </si>
  <si>
    <t>1972</t>
  </si>
  <si>
    <t>SUPV, FOOD VENDING SVCS</t>
  </si>
  <si>
    <t>2009</t>
  </si>
  <si>
    <t>CAREER TECH INSTRUCTOR I</t>
  </si>
  <si>
    <t>2010</t>
  </si>
  <si>
    <t>CAREER TECH INSTRUCTOR II</t>
  </si>
  <si>
    <t>2011</t>
  </si>
  <si>
    <t>CAREER TECH INSTRUCTOR III</t>
  </si>
  <si>
    <t>2012</t>
  </si>
  <si>
    <t>CAREER TECH INSTRUCTOR IV</t>
  </si>
  <si>
    <t>2014</t>
  </si>
  <si>
    <t>CEC INSTRUCTOR</t>
  </si>
  <si>
    <t>2020</t>
  </si>
  <si>
    <t>INSTRUCTOR/TRAINER</t>
  </si>
  <si>
    <t>2038</t>
  </si>
  <si>
    <t>TEACHER, EGOS ANNUAL</t>
  </si>
  <si>
    <t>VCTF</t>
  </si>
  <si>
    <t>2039</t>
  </si>
  <si>
    <t>2040</t>
  </si>
  <si>
    <t>2041</t>
  </si>
  <si>
    <t>2042</t>
  </si>
  <si>
    <t>2043</t>
  </si>
  <si>
    <t>2105</t>
  </si>
  <si>
    <t>FACILITY MANAGER V</t>
  </si>
  <si>
    <t>2106</t>
  </si>
  <si>
    <t>FACILITY MANAGER IV</t>
  </si>
  <si>
    <t>2201</t>
  </si>
  <si>
    <t>CUSTODIAN ASST I</t>
  </si>
  <si>
    <t>CWOA</t>
  </si>
  <si>
    <t>2202</t>
  </si>
  <si>
    <t>CUSTODIAN ASST II</t>
  </si>
  <si>
    <t>2203</t>
  </si>
  <si>
    <t>CUSTODIAN ASST IV</t>
  </si>
  <si>
    <t>2205</t>
  </si>
  <si>
    <t>CUSTODIAL HELPER - DAY</t>
  </si>
  <si>
    <t>2211</t>
  </si>
  <si>
    <t>CUSTODIAN ASST III</t>
  </si>
  <si>
    <t>2400</t>
  </si>
  <si>
    <t>LEAD VEHICLE MTCE TECH</t>
  </si>
  <si>
    <t>2511</t>
  </si>
  <si>
    <t>CARETAKER (BALARAT)</t>
  </si>
  <si>
    <t>2513</t>
  </si>
  <si>
    <t>CREW CHIEF</t>
  </si>
  <si>
    <t>2630</t>
  </si>
  <si>
    <t>VEHICLE SERVICE TECH I</t>
  </si>
  <si>
    <t>2631</t>
  </si>
  <si>
    <t>VEHICLE SERVICE TECH 11</t>
  </si>
  <si>
    <t xml:space="preserve">LIB MED SPC, ELEM    </t>
  </si>
  <si>
    <t>3312</t>
  </si>
  <si>
    <t>TEACHER, ADULT VOC EDUC</t>
  </si>
  <si>
    <t>TEACHER, SPD ELEM MOD NDS</t>
  </si>
  <si>
    <t>3408</t>
  </si>
  <si>
    <t>TEACHER, DISABILITY ACCESS</t>
  </si>
  <si>
    <t>4110</t>
  </si>
  <si>
    <t>SPECIALIST, CEC</t>
  </si>
  <si>
    <t>4120</t>
  </si>
  <si>
    <t>MANAGER, FOOD MULTI SITE</t>
  </si>
  <si>
    <t>FOOD</t>
  </si>
  <si>
    <t>4121</t>
  </si>
  <si>
    <t>MANAGER, FOOD SERVICE IV</t>
  </si>
  <si>
    <t>4129</t>
  </si>
  <si>
    <t>DIR, FOOD SVCS OPERATIONS</t>
  </si>
  <si>
    <t>4180</t>
  </si>
  <si>
    <t>MANAGER, FOOD SERVICE III</t>
  </si>
  <si>
    <t>4190</t>
  </si>
  <si>
    <t>MANAGER, FOOD SERVICE I</t>
  </si>
  <si>
    <t>4191</t>
  </si>
  <si>
    <t>MANAGER, FOOD SERVICE II</t>
  </si>
  <si>
    <t>4194</t>
  </si>
  <si>
    <t>SUPV, AREA FOOD SVCS</t>
  </si>
  <si>
    <t>4198</t>
  </si>
  <si>
    <t>FOOD SERVICE PROGRAM SPEC</t>
  </si>
  <si>
    <t>4918</t>
  </si>
  <si>
    <t>L1 MILLWRIGHT</t>
  </si>
  <si>
    <t>4954</t>
  </si>
  <si>
    <t>L1 MOTOR REPAIR TECH</t>
  </si>
  <si>
    <t>4962</t>
  </si>
  <si>
    <t>L1 ELECTRICIAN</t>
  </si>
  <si>
    <t>4972</t>
  </si>
  <si>
    <t>L1 PAVEMENT MTCE TECH</t>
  </si>
  <si>
    <t>4974</t>
  </si>
  <si>
    <t>L1 FENCING MTCE TECH</t>
  </si>
  <si>
    <t>4976</t>
  </si>
  <si>
    <t>L1 PLAYGROUND MTCE TECH</t>
  </si>
  <si>
    <t>4978</t>
  </si>
  <si>
    <t>L1 LANDSCAPE/ARBOREAL TECH</t>
  </si>
  <si>
    <t>4980</t>
  </si>
  <si>
    <t>L1 ATHLETIC FIELD TECH</t>
  </si>
  <si>
    <t>5001</t>
  </si>
  <si>
    <t>L2 PREVENT MTCE TECH - AM</t>
  </si>
  <si>
    <t>5002</t>
  </si>
  <si>
    <t>L2 STEAM/HYDRONIC SYS TECH</t>
  </si>
  <si>
    <t>5006</t>
  </si>
  <si>
    <t>L2 CONTROLS TECH</t>
  </si>
  <si>
    <t>5008</t>
  </si>
  <si>
    <t>L2 BOILER/COMBUSTION TECH</t>
  </si>
  <si>
    <t>5030</t>
  </si>
  <si>
    <t>L2 BCKFLW PREV/IRRIG TECH</t>
  </si>
  <si>
    <t>5036</t>
  </si>
  <si>
    <t>L2 PLUMBER</t>
  </si>
  <si>
    <t>5042</t>
  </si>
  <si>
    <t>L2 ROOFER</t>
  </si>
  <si>
    <t>5044</t>
  </si>
  <si>
    <t>L2 PAINTER</t>
  </si>
  <si>
    <t>5054</t>
  </si>
  <si>
    <t>L2 MOTOR REPAIR TECH</t>
  </si>
  <si>
    <t>5056</t>
  </si>
  <si>
    <t>L2 MSTR CLK/FIRE ALRM TECH</t>
  </si>
  <si>
    <t>5062</t>
  </si>
  <si>
    <t>L2 ELECTRICIAN</t>
  </si>
  <si>
    <t>5070</t>
  </si>
  <si>
    <t>L2 HEAVY EQUIPMNT OPERATOR</t>
  </si>
  <si>
    <t>5080</t>
  </si>
  <si>
    <t>L2 ATHLETIC FIELD TECH</t>
  </si>
  <si>
    <t>5082</t>
  </si>
  <si>
    <t>L2 PEST MANAGEMENT TECH</t>
  </si>
  <si>
    <t>5088</t>
  </si>
  <si>
    <t>L2 BRICKLAYER</t>
  </si>
  <si>
    <t>5090</t>
  </si>
  <si>
    <t>L2 CARPENTER</t>
  </si>
  <si>
    <t>5092</t>
  </si>
  <si>
    <t>L2 FLOOR COVER/TILE TECH</t>
  </si>
  <si>
    <t>5094</t>
  </si>
  <si>
    <t>L2 LOCKSMITH</t>
  </si>
  <si>
    <t>5101</t>
  </si>
  <si>
    <t>L3 PREVENT MTCE TECH - AM</t>
  </si>
  <si>
    <t>5102</t>
  </si>
  <si>
    <t>L3 STEAM/HYDRONIC SYS TECH</t>
  </si>
  <si>
    <t>5104</t>
  </si>
  <si>
    <t>L3 REFRIGERATION-A/C TECH</t>
  </si>
  <si>
    <t>5106</t>
  </si>
  <si>
    <t>L3 CONTROLS TECH</t>
  </si>
  <si>
    <t>5108</t>
  </si>
  <si>
    <t>L3 BOILER/COMBUSTION TECH</t>
  </si>
  <si>
    <t>5112</t>
  </si>
  <si>
    <t>L3 CHILLER/ABSORBER TECH</t>
  </si>
  <si>
    <t>5116</t>
  </si>
  <si>
    <t>L3 SHEET METAL TECH</t>
  </si>
  <si>
    <t>5118</t>
  </si>
  <si>
    <t>L3 MILLWRIGHT</t>
  </si>
  <si>
    <t>5124</t>
  </si>
  <si>
    <t>L3 METALWKS/FIRE EXTG TECH</t>
  </si>
  <si>
    <t>5130</t>
  </si>
  <si>
    <t>L3 BCKFLW PREV/IRRIG TECH</t>
  </si>
  <si>
    <t>5134</t>
  </si>
  <si>
    <t>L3 POOL OPERATION TECH</t>
  </si>
  <si>
    <t>5136</t>
  </si>
  <si>
    <t>L3 PLUMBER</t>
  </si>
  <si>
    <t>5142</t>
  </si>
  <si>
    <t>L3 ROOFER</t>
  </si>
  <si>
    <t>5144</t>
  </si>
  <si>
    <t>L3 PAINTER</t>
  </si>
  <si>
    <t>5146</t>
  </si>
  <si>
    <t>L3 PLASTERER/INSULATOR</t>
  </si>
  <si>
    <t>5148</t>
  </si>
  <si>
    <t>L3 COMPUTER GRAPHIC ARTIST</t>
  </si>
  <si>
    <t>5154</t>
  </si>
  <si>
    <t>L3 MOTOR REPAIR TECH</t>
  </si>
  <si>
    <t>5156</t>
  </si>
  <si>
    <t>L3 MSTR CLK/FIRE ALRM TECH</t>
  </si>
  <si>
    <t>5158</t>
  </si>
  <si>
    <t>L3 APPLIANCE REPAIR TECH</t>
  </si>
  <si>
    <t>5162</t>
  </si>
  <si>
    <t>L3 ELECTRICIAN</t>
  </si>
  <si>
    <t>5168</t>
  </si>
  <si>
    <t>L3 HVY EQPT/SMALL ENG RPR</t>
  </si>
  <si>
    <t>5170</t>
  </si>
  <si>
    <t>L3 HEAVY EQUIPMNT OPERATOR</t>
  </si>
  <si>
    <t>5172</t>
  </si>
  <si>
    <t>L3 PAVEMENT MTCE TECH</t>
  </si>
  <si>
    <t>5178</t>
  </si>
  <si>
    <t>L3 LANDSCAPE/ARBOREAL TECH</t>
  </si>
  <si>
    <t>5180</t>
  </si>
  <si>
    <t>L3 ATHLETIC FIELD TECH</t>
  </si>
  <si>
    <t>5182</t>
  </si>
  <si>
    <t>L3 PEST MANAGEMENT TECH</t>
  </si>
  <si>
    <t>5190</t>
  </si>
  <si>
    <t>L3 CARPENTER</t>
  </si>
  <si>
    <t>5192</t>
  </si>
  <si>
    <t>L3 FLOOR COVER/TILE TECH</t>
  </si>
  <si>
    <t>5194</t>
  </si>
  <si>
    <t>L3 LOCKSMITH</t>
  </si>
  <si>
    <t>5196</t>
  </si>
  <si>
    <t>L3 CABINETMAKER</t>
  </si>
  <si>
    <t>5201</t>
  </si>
  <si>
    <t>BUS DRIVER - RELIEF</t>
  </si>
  <si>
    <t>5204</t>
  </si>
  <si>
    <t>BUS DRIVER - REGULAR</t>
  </si>
  <si>
    <t>5209</t>
  </si>
  <si>
    <t>BUS DRIVER 32 HRS</t>
  </si>
  <si>
    <t>5263</t>
  </si>
  <si>
    <t>QA/QC SPECIALIST</t>
  </si>
  <si>
    <t>5264</t>
  </si>
  <si>
    <t>SUPV, QA/QC</t>
  </si>
  <si>
    <t>5301</t>
  </si>
  <si>
    <t>DRIVER TRAINER II</t>
  </si>
  <si>
    <t>5302</t>
  </si>
  <si>
    <t>TRUCK DRIVER</t>
  </si>
  <si>
    <t>5306</t>
  </si>
  <si>
    <t>VENDING MACHINE RTE DRIVER</t>
  </si>
  <si>
    <t>5600</t>
  </si>
  <si>
    <t>GENERAL LABORER</t>
  </si>
  <si>
    <t>6000</t>
  </si>
  <si>
    <t>ASST TO THE SUPERINTENDENT</t>
  </si>
  <si>
    <t>6001</t>
  </si>
  <si>
    <t>ASST TO COO</t>
  </si>
  <si>
    <t>6107</t>
  </si>
  <si>
    <t>BUDGET COORDINATOR</t>
  </si>
  <si>
    <t>6110</t>
  </si>
  <si>
    <t>BUDGET TECHNICIAN/SPEC I</t>
  </si>
  <si>
    <t>6113</t>
  </si>
  <si>
    <t>CAREER ED SPEC/ATHL TRAIN</t>
  </si>
  <si>
    <t>6117</t>
  </si>
  <si>
    <t>SFPC LIAISON SPECIALIST</t>
  </si>
  <si>
    <t>6118</t>
  </si>
  <si>
    <t>BILINGUAL TRANSLATOR</t>
  </si>
  <si>
    <t>6119</t>
  </si>
  <si>
    <t>SPANISH LNG PROF EXAM SPEC</t>
  </si>
  <si>
    <t>6120</t>
  </si>
  <si>
    <t>SPECIALIST I, CAREER EDUC</t>
  </si>
  <si>
    <t>6125</t>
  </si>
  <si>
    <t>SUPV, FAMILY SERVICES</t>
  </si>
  <si>
    <t>6126</t>
  </si>
  <si>
    <t>COORDINATOR, VOLUNTEER</t>
  </si>
  <si>
    <t>6129</t>
  </si>
  <si>
    <t>SUPV, COMMUNITY PROGRAMS</t>
  </si>
  <si>
    <t>6146</t>
  </si>
  <si>
    <t>AUDITOR I</t>
  </si>
  <si>
    <t>6148</t>
  </si>
  <si>
    <t>AUDITOR III</t>
  </si>
  <si>
    <t>6149</t>
  </si>
  <si>
    <t>BUDGET ANALYST</t>
  </si>
  <si>
    <t>6150</t>
  </si>
  <si>
    <t xml:space="preserve">ACCOUNTANT </t>
  </si>
  <si>
    <t>6157</t>
  </si>
  <si>
    <t>SUPV, ACCOUNTANT</t>
  </si>
  <si>
    <t>6158</t>
  </si>
  <si>
    <t>CHILD CARE SITE COORD</t>
  </si>
  <si>
    <t>6159</t>
  </si>
  <si>
    <t>CASE MANAGER</t>
  </si>
  <si>
    <t>6162</t>
  </si>
  <si>
    <t>PROJECT COORDINATOR, DPMS</t>
  </si>
  <si>
    <t>6163</t>
  </si>
  <si>
    <t>DATA FACILITATOR</t>
  </si>
  <si>
    <t>6165</t>
  </si>
  <si>
    <t>ASSISTANT CONTROLLER</t>
  </si>
  <si>
    <t>6166</t>
  </si>
  <si>
    <t>ADMIN INTERN, HIGH</t>
  </si>
  <si>
    <t>6168</t>
  </si>
  <si>
    <t>ADMIN INTERN, ELEMENTARY</t>
  </si>
  <si>
    <t>6180</t>
  </si>
  <si>
    <t>ACCOUNTANT, GENERAL I</t>
  </si>
  <si>
    <t>6182</t>
  </si>
  <si>
    <t>ACCOUNTANT, GENERAL II</t>
  </si>
  <si>
    <t>6209</t>
  </si>
  <si>
    <t>COORDINATOR, EXTENDED LEARNING</t>
  </si>
  <si>
    <t>6210</t>
  </si>
  <si>
    <t>COORDINATOR, EDUCATIONAL</t>
  </si>
  <si>
    <t>6215</t>
  </si>
  <si>
    <t>SPECIALIST, EXTENDED LEARNING</t>
  </si>
  <si>
    <t>6220</t>
  </si>
  <si>
    <t>ECE DATA SPECIALIST</t>
  </si>
  <si>
    <t>6224</t>
  </si>
  <si>
    <t>ECE LEAD DATA SPECIALIST</t>
  </si>
  <si>
    <t>6241</t>
  </si>
  <si>
    <t>SR GEOGRAPHIC SYS ANALYST</t>
  </si>
  <si>
    <t>6242</t>
  </si>
  <si>
    <t>EMP BENEFIT SPECIALIST I</t>
  </si>
  <si>
    <t>6243</t>
  </si>
  <si>
    <t>EDUC TECH SPECIALIST III</t>
  </si>
  <si>
    <t>6250</t>
  </si>
  <si>
    <t>ENGINEER/SAFETY BEGINNER</t>
  </si>
  <si>
    <t>6253</t>
  </si>
  <si>
    <t>PROJECT MANAGER, CONSTRUCTION SERV</t>
  </si>
  <si>
    <t>6254</t>
  </si>
  <si>
    <t>EMP HEALTH SERVICES SPEC</t>
  </si>
  <si>
    <t>6256</t>
  </si>
  <si>
    <t>COMMUNICATION TECHNICIAN</t>
  </si>
  <si>
    <t>6274</t>
  </si>
  <si>
    <t>EMPLOYEE BENEFIT SPEC II</t>
  </si>
  <si>
    <t>6275</t>
  </si>
  <si>
    <t>EMP BENEFITS FINAN ANALYST</t>
  </si>
  <si>
    <t>6278</t>
  </si>
  <si>
    <t>SPCLST, SCHOOL TO CAREER</t>
  </si>
  <si>
    <t>6279</t>
  </si>
  <si>
    <t>COMMUNITY PROGRAM COOR</t>
  </si>
  <si>
    <t>6280</t>
  </si>
  <si>
    <t>SENIOR HUMAN RESOURCES REP</t>
  </si>
  <si>
    <t>6285</t>
  </si>
  <si>
    <t>6286</t>
  </si>
  <si>
    <t>COORDINATOR, CENTRAL CURR</t>
  </si>
  <si>
    <t>6287</t>
  </si>
  <si>
    <t>6288</t>
  </si>
  <si>
    <t>COORDINATOR, CTL ASSMT/TST</t>
  </si>
  <si>
    <t>6289</t>
  </si>
  <si>
    <t>COORDINATOR, CTL ELA COMPL</t>
  </si>
  <si>
    <t>6293</t>
  </si>
  <si>
    <t>SENIOR COMP ANALYST</t>
  </si>
  <si>
    <t>6294</t>
  </si>
  <si>
    <t>ASSEMBLER</t>
  </si>
  <si>
    <t>6296</t>
  </si>
  <si>
    <t>SENIOR RECRUITER</t>
  </si>
  <si>
    <t>6297</t>
  </si>
  <si>
    <t xml:space="preserve"> RECRUITER</t>
  </si>
  <si>
    <t>6298</t>
  </si>
  <si>
    <t>COORDINATOR, HR</t>
  </si>
  <si>
    <t>6300</t>
  </si>
  <si>
    <t>HUMAN RESOURCES REPRESENTATIVE</t>
  </si>
  <si>
    <t>6302</t>
  </si>
  <si>
    <t>PAYROLL ANALYST</t>
  </si>
  <si>
    <t>6304</t>
  </si>
  <si>
    <t>HUMAN RESOURCES GENERALIST</t>
  </si>
  <si>
    <t>6306</t>
  </si>
  <si>
    <t>SUMMER LITERACY PROG ASST</t>
  </si>
  <si>
    <t>6310</t>
  </si>
  <si>
    <t>HEALTH CARE TECHNICIAN II</t>
  </si>
  <si>
    <t>6315</t>
  </si>
  <si>
    <t>MILITARY INSTRUCTION</t>
  </si>
  <si>
    <t>6318</t>
  </si>
  <si>
    <t>GEOGRAPHIC SYSTEMS ANLYST</t>
  </si>
  <si>
    <t>6328</t>
  </si>
  <si>
    <t>PAYROLL TECHNICIAN III</t>
  </si>
  <si>
    <t>6329</t>
  </si>
  <si>
    <t>SPECIALIST, ERS</t>
  </si>
  <si>
    <t>6332</t>
  </si>
  <si>
    <t>SPECIALIST, HEALTH</t>
  </si>
  <si>
    <t>6333</t>
  </si>
  <si>
    <t>HRIS SYSTEMS ANALYST</t>
  </si>
  <si>
    <t>6334</t>
  </si>
  <si>
    <t>LIBRARY TECHNICIAN I</t>
  </si>
  <si>
    <t>6338</t>
  </si>
  <si>
    <t>LIBRARY TECHNICIAN II</t>
  </si>
  <si>
    <t>6343</t>
  </si>
  <si>
    <t>SPEECH LANG PATHOLOGY ASST</t>
  </si>
  <si>
    <t>6344</t>
  </si>
  <si>
    <t>INDIAN EDUCATION PROJ COOR</t>
  </si>
  <si>
    <t>6346</t>
  </si>
  <si>
    <t>CUSTOMER SERVICE REP</t>
  </si>
  <si>
    <t>6347</t>
  </si>
  <si>
    <t>LIAISON, SCHOOL</t>
  </si>
  <si>
    <t>6348</t>
  </si>
  <si>
    <t>SPECIALIST, NEW SCHOOLS</t>
  </si>
  <si>
    <t>6350</t>
  </si>
  <si>
    <t>CAD TECH</t>
  </si>
  <si>
    <t>6351</t>
  </si>
  <si>
    <t>EDUCATIONAL PRO-TECH</t>
  </si>
  <si>
    <t>6352</t>
  </si>
  <si>
    <t>6353</t>
  </si>
  <si>
    <t>6355</t>
  </si>
  <si>
    <t>6370</t>
  </si>
  <si>
    <t>DEPUTY DIRECTOR COMM</t>
  </si>
  <si>
    <t>6373</t>
  </si>
  <si>
    <t>MARKETING COORDINATOR</t>
  </si>
  <si>
    <t>6375</t>
  </si>
  <si>
    <t>SPECIALIST, SWAP</t>
  </si>
  <si>
    <t>6390</t>
  </si>
  <si>
    <t>LEAD PAYROLL TECHNICIAN</t>
  </si>
  <si>
    <t>6391</t>
  </si>
  <si>
    <t>BUSINESS SERVICES SPEC</t>
  </si>
  <si>
    <t>6392</t>
  </si>
  <si>
    <t>LEAD BUS SERVICES SPEC</t>
  </si>
  <si>
    <t>6401</t>
  </si>
  <si>
    <t>PLANNING/RESEARCH ANLYST I</t>
  </si>
  <si>
    <t>6402</t>
  </si>
  <si>
    <t>PLNG &amp; RESEARCH ANLYT II</t>
  </si>
  <si>
    <t>6405</t>
  </si>
  <si>
    <t>PLAN &amp; RESEARCH ASSOC. II</t>
  </si>
  <si>
    <t>6407</t>
  </si>
  <si>
    <t>PROGRAM SPECIALIST</t>
  </si>
  <si>
    <t>6409</t>
  </si>
  <si>
    <t>PROJECT COORDINATOR</t>
  </si>
  <si>
    <t>6411</t>
  </si>
  <si>
    <t>6412</t>
  </si>
  <si>
    <t>6414</t>
  </si>
  <si>
    <t>ROUTE SCHEDULER II</t>
  </si>
  <si>
    <t>6420</t>
  </si>
  <si>
    <t>SENIOR FINANCIAL ANALYST</t>
  </si>
  <si>
    <t>6428</t>
  </si>
  <si>
    <t>SPECIALIST, STAFF DEVEL</t>
  </si>
  <si>
    <t>6436</t>
  </si>
  <si>
    <t>BALARAT SPECIALIST</t>
  </si>
  <si>
    <t>6439</t>
  </si>
  <si>
    <t>MANAGER, COMMUNICATIONS</t>
  </si>
  <si>
    <t>6440</t>
  </si>
  <si>
    <t>CDM/COMMUNITY SPECIALIST</t>
  </si>
  <si>
    <t>6443</t>
  </si>
  <si>
    <t>TRAINING  &amp; DVLPMNT SPECLST</t>
  </si>
  <si>
    <t>6445</t>
  </si>
  <si>
    <t xml:space="preserve">LEGAL ASSISTANT   </t>
  </si>
  <si>
    <t>6446</t>
  </si>
  <si>
    <t>LEGAL ASSISTANT FT</t>
  </si>
  <si>
    <t>6449</t>
  </si>
  <si>
    <t>DATA ANALYST</t>
  </si>
  <si>
    <t>6453</t>
  </si>
  <si>
    <t>SR FINANCIAL ANALYST</t>
  </si>
  <si>
    <t>6456</t>
  </si>
  <si>
    <t>ENGINEER CONTROLS APPL</t>
  </si>
  <si>
    <t>6460</t>
  </si>
  <si>
    <t>SCHOOL FINANCIAL LIAISON I</t>
  </si>
  <si>
    <t>6508</t>
  </si>
  <si>
    <t>TUTOR INTERPRETER</t>
  </si>
  <si>
    <t>6516</t>
  </si>
  <si>
    <t>SPECIALIST, FIX ASSET INVEN</t>
  </si>
  <si>
    <t>6518</t>
  </si>
  <si>
    <t>SPECIALIST, PARKING CONTROL</t>
  </si>
  <si>
    <t>6520</t>
  </si>
  <si>
    <t>6522</t>
  </si>
  <si>
    <t>6524</t>
  </si>
  <si>
    <t>6525</t>
  </si>
  <si>
    <t>6527</t>
  </si>
  <si>
    <t>6530</t>
  </si>
  <si>
    <t>VISION SCREEN TECH II</t>
  </si>
  <si>
    <t>6531</t>
  </si>
  <si>
    <t>YOUTH EDUCATION SPECIALIST</t>
  </si>
  <si>
    <t>6604</t>
  </si>
  <si>
    <t>SECURITY COMM OFFICER</t>
  </si>
  <si>
    <t>6607</t>
  </si>
  <si>
    <t>SECURITY RESOURCE SPEC</t>
  </si>
  <si>
    <t>6608</t>
  </si>
  <si>
    <t>SECURITY PATROL</t>
  </si>
  <si>
    <t>6614</t>
  </si>
  <si>
    <t>SECURITY INVESTIGATOR II</t>
  </si>
  <si>
    <t>6615</t>
  </si>
  <si>
    <t>SECURITY TRAINING SPECIALIST</t>
  </si>
  <si>
    <t>6617</t>
  </si>
  <si>
    <t>SECURITY SYSTEMS TECH II</t>
  </si>
  <si>
    <t>6630</t>
  </si>
  <si>
    <t>MANAGER, PATROL OPERATIONS</t>
  </si>
  <si>
    <t>6631</t>
  </si>
  <si>
    <t>SUPV, SECURITY RESOURCE</t>
  </si>
  <si>
    <t>6632</t>
  </si>
  <si>
    <t>MANAGER, SCHOOL SECURITY</t>
  </si>
  <si>
    <t>6636</t>
  </si>
  <si>
    <t>SUPV, SECURITY PATROL</t>
  </si>
  <si>
    <t>6638</t>
  </si>
  <si>
    <t>SUPV, SECURITY OPERATIONS</t>
  </si>
  <si>
    <t>6881</t>
  </si>
  <si>
    <t>SPECIALIST, BUDGET DATA</t>
  </si>
  <si>
    <t>8000</t>
  </si>
  <si>
    <t>LAS TESTER</t>
  </si>
  <si>
    <t>8101</t>
  </si>
  <si>
    <t>SPECIALIST, INSTRUCTIONAL</t>
  </si>
  <si>
    <t>8106</t>
  </si>
  <si>
    <t>SPECIALIST, PROJECT 232</t>
  </si>
  <si>
    <t>8150</t>
  </si>
  <si>
    <t>COORDINATOR, CTL SCH CNSLG</t>
  </si>
  <si>
    <t>9215</t>
  </si>
  <si>
    <t>SUPV, EGOS FINANCIAL AID</t>
  </si>
  <si>
    <t>9602</t>
  </si>
  <si>
    <t>COMPUTER OPERATOR II</t>
  </si>
  <si>
    <t>9604</t>
  </si>
  <si>
    <t>COMPUTER OPERATOR III</t>
  </si>
  <si>
    <t>9606</t>
  </si>
  <si>
    <t>COMPUTER SUPPORT TECH I</t>
  </si>
  <si>
    <t>9607</t>
  </si>
  <si>
    <t>COMPUTER SUPPORT TECH II</t>
  </si>
  <si>
    <t>9614</t>
  </si>
  <si>
    <t>DATA PROCESSOR II</t>
  </si>
  <si>
    <t>9615</t>
  </si>
  <si>
    <t>DATA SPECIALIST</t>
  </si>
  <si>
    <t>9616</t>
  </si>
  <si>
    <t>LEAD OPERATOR-COMPUTER CTR</t>
  </si>
  <si>
    <t>9619</t>
  </si>
  <si>
    <t>NETWORK TECHNICIAN I</t>
  </si>
  <si>
    <t>9620</t>
  </si>
  <si>
    <t>NETWORK TECHNICIAN II</t>
  </si>
  <si>
    <t>9621</t>
  </si>
  <si>
    <t>NETWORK TECHNICIAN III</t>
  </si>
  <si>
    <t>9630</t>
  </si>
  <si>
    <t>SUPV, SERVICE COORD CTR</t>
  </si>
  <si>
    <t>9635</t>
  </si>
  <si>
    <t>TELECOMMUNICATION TECH</t>
  </si>
  <si>
    <t>9643</t>
  </si>
  <si>
    <t>SPECIALIST II, PC APP</t>
  </si>
  <si>
    <t>9645</t>
  </si>
  <si>
    <t>TECHNICIAN, AV/PC HARDWARE</t>
  </si>
  <si>
    <t>9648</t>
  </si>
  <si>
    <t>SPECIALIST III, PC APP</t>
  </si>
  <si>
    <t>9650</t>
  </si>
  <si>
    <t>ADMINISTRATOR, DATABASE II</t>
  </si>
  <si>
    <t>9651</t>
  </si>
  <si>
    <t>PROJECT LEADER</t>
  </si>
  <si>
    <t>9652</t>
  </si>
  <si>
    <t>PROGRAMMER/ANALYST, SENIOR</t>
  </si>
  <si>
    <t>9653</t>
  </si>
  <si>
    <t>ADMINISTRATOR, SR DATABASE</t>
  </si>
  <si>
    <t>9654</t>
  </si>
  <si>
    <t>ADMINISTRATOR, SR SYSTEMS</t>
  </si>
  <si>
    <t>9655</t>
  </si>
  <si>
    <t>DIR, TECH ENTERPRISE APPS</t>
  </si>
  <si>
    <t>9656</t>
  </si>
  <si>
    <t>MANAGER, DATABASE SYS ADMN</t>
  </si>
  <si>
    <t>9658</t>
  </si>
  <si>
    <t>PROJECT LEADER, SENIOR</t>
  </si>
  <si>
    <t>9659</t>
  </si>
  <si>
    <t>MANAGER, TECHNOLOGY SVCS</t>
  </si>
  <si>
    <t>9660</t>
  </si>
  <si>
    <t>DIR, TECHNOLOGY SYSTEMS</t>
  </si>
  <si>
    <t>9661</t>
  </si>
  <si>
    <t>MANAGER, TELECOMMUNICATION</t>
  </si>
  <si>
    <t>9664</t>
  </si>
  <si>
    <t>BUSINESS ANALYST</t>
  </si>
  <si>
    <t>9667</t>
  </si>
  <si>
    <t>CLIENT TECHNLGIES ANALYST</t>
  </si>
  <si>
    <t>9670</t>
  </si>
  <si>
    <t>SECURITY ADMINISTRATOR</t>
  </si>
  <si>
    <t>9671</t>
  </si>
  <si>
    <t>SYSTEMS ADMINISTRATOR II</t>
  </si>
  <si>
    <t>9672</t>
  </si>
  <si>
    <t>DIR, TECH CUST RELATIONS</t>
  </si>
  <si>
    <t>9675</t>
  </si>
  <si>
    <t>PRODUCT LEAD</t>
  </si>
  <si>
    <t>9676</t>
  </si>
  <si>
    <t>PRODUCT MANAGER</t>
  </si>
  <si>
    <t>9680</t>
  </si>
  <si>
    <t>MANAGER, WEB SERVICES</t>
  </si>
  <si>
    <t>9681</t>
  </si>
  <si>
    <t>BUS INTELLIGENCE ANALYST</t>
  </si>
  <si>
    <t>9682</t>
  </si>
  <si>
    <t>SR BUS INTELL ANALYST</t>
  </si>
  <si>
    <t>9683</t>
  </si>
  <si>
    <t>SR QUALITY ASSUR ANALYST</t>
  </si>
  <si>
    <t>9690</t>
  </si>
  <si>
    <t>SR SHAREPOINT ADMIN</t>
  </si>
  <si>
    <t>9720</t>
  </si>
  <si>
    <t>HELP DESK SPECIALIST I</t>
  </si>
  <si>
    <t>9722</t>
  </si>
  <si>
    <t>HELP DESK SPECIALIST II</t>
  </si>
  <si>
    <t>9724</t>
  </si>
  <si>
    <t>HELP DESK SPECIALIST III</t>
  </si>
  <si>
    <t>9730</t>
  </si>
  <si>
    <t>MANAGER, BUS ENTERPRS APPS</t>
  </si>
  <si>
    <t>9732</t>
  </si>
  <si>
    <t>MANAGER, SITE SUPPORT</t>
  </si>
  <si>
    <t>9734</t>
  </si>
  <si>
    <t>MANAGER, STUD ENTRPRS APPS</t>
  </si>
  <si>
    <t>9736</t>
  </si>
  <si>
    <t>MANAGER, BI AND BA TEAMS</t>
  </si>
  <si>
    <t>9738</t>
  </si>
  <si>
    <t>MANAGER, ENTRPRS DATA WHSE</t>
  </si>
  <si>
    <t>9800</t>
  </si>
  <si>
    <t>DESKTOP PRINT/WEB SITE DEV</t>
  </si>
  <si>
    <t>9860</t>
  </si>
  <si>
    <t>DIR, EDUCATIONAL TECH</t>
  </si>
  <si>
    <t>0300</t>
  </si>
  <si>
    <t>PRINCIPAL, ASST HRLY</t>
  </si>
  <si>
    <t>1402</t>
  </si>
  <si>
    <t>NURSE, HOURLY</t>
  </si>
  <si>
    <t>1512</t>
  </si>
  <si>
    <t>PSYCHOLOGIST, HOURLY</t>
  </si>
  <si>
    <t>1615</t>
  </si>
  <si>
    <t>BOOKKEEPER II, HOURLY</t>
  </si>
  <si>
    <t>1624</t>
  </si>
  <si>
    <t>SECRETARY - HOURLY</t>
  </si>
  <si>
    <t>1625</t>
  </si>
  <si>
    <t>SECRETARY - PART-TIME</t>
  </si>
  <si>
    <t>2403</t>
  </si>
  <si>
    <t>PEP CLUB SPONSOR</t>
  </si>
  <si>
    <t>3304</t>
  </si>
  <si>
    <t>TEACHER, HRLY</t>
  </si>
  <si>
    <t>6102</t>
  </si>
  <si>
    <t>PROTECH, HRLY</t>
  </si>
  <si>
    <t>6540</t>
  </si>
  <si>
    <t>TUTOR, AVID</t>
  </si>
  <si>
    <t>7002</t>
  </si>
  <si>
    <t>COMPUTER LAB TECHNICIAN</t>
  </si>
  <si>
    <t>7003</t>
  </si>
  <si>
    <t>SR. COMPUTER LAB TECH</t>
  </si>
  <si>
    <t>7005</t>
  </si>
  <si>
    <t>HEALTH TECHNICIAN</t>
  </si>
  <si>
    <t>7007</t>
  </si>
  <si>
    <t>LIBRARY MEDIA CENTER</t>
  </si>
  <si>
    <t>7008</t>
  </si>
  <si>
    <t>SR. LIBRARY MEDIA CENTER</t>
  </si>
  <si>
    <t>7009</t>
  </si>
  <si>
    <t>ELA GENERAL ASSIGNMENT</t>
  </si>
  <si>
    <t>7029</t>
  </si>
  <si>
    <t>SPEC ED ASST, MILD/MODERATE</t>
  </si>
  <si>
    <t>7037</t>
  </si>
  <si>
    <t>READING &amp; WRITING ASST</t>
  </si>
  <si>
    <t>7041</t>
  </si>
  <si>
    <t>SOCIAL WORKER ASST</t>
  </si>
  <si>
    <t>7043</t>
  </si>
  <si>
    <t>PASSROOM</t>
  </si>
  <si>
    <t>7047</t>
  </si>
  <si>
    <t>GENERAL ASSIGNMENT</t>
  </si>
  <si>
    <t>7048</t>
  </si>
  <si>
    <t>TUTOR PARAPROFESSIONAL</t>
  </si>
  <si>
    <t>7058</t>
  </si>
  <si>
    <t>TRUANCY PROGRAM TRANSITION</t>
  </si>
  <si>
    <t>7074</t>
  </si>
  <si>
    <t>REGISTRAR</t>
  </si>
  <si>
    <t>7110</t>
  </si>
  <si>
    <t>ELA READING &amp; WRITING PARA</t>
  </si>
  <si>
    <t>7117</t>
  </si>
  <si>
    <t>STUDNT PARNT FAMLY INVOLVMT</t>
  </si>
  <si>
    <t>7120</t>
  </si>
  <si>
    <t>COUNSELING SUPPORT PARA</t>
  </si>
  <si>
    <t>0298</t>
  </si>
  <si>
    <t>ADMINISTRATORS</t>
  </si>
  <si>
    <t>0299</t>
  </si>
  <si>
    <t>PRINCIPAL, HRLY</t>
  </si>
  <si>
    <t>1405</t>
  </si>
  <si>
    <t>NURSE, DAILY SUB</t>
  </si>
  <si>
    <t>1406</t>
  </si>
  <si>
    <t>NURSE, LONG TERM SUB</t>
  </si>
  <si>
    <t>1534</t>
  </si>
  <si>
    <t>SOCIAL WORKER, HOURLY</t>
  </si>
  <si>
    <t>1556</t>
  </si>
  <si>
    <t>SPEECH LANG SPC, HRLY</t>
  </si>
  <si>
    <t>1680</t>
  </si>
  <si>
    <t>CLASSIFIELD PERSONNEL</t>
  </si>
  <si>
    <t>1703</t>
  </si>
  <si>
    <t>1707</t>
  </si>
  <si>
    <t>SECRETARY II</t>
  </si>
  <si>
    <t>2001</t>
  </si>
  <si>
    <t>HOMEBOUND TEACHER</t>
  </si>
  <si>
    <t>2013</t>
  </si>
  <si>
    <t>CEC INSTRUCTOR, HRLY</t>
  </si>
  <si>
    <t>2017</t>
  </si>
  <si>
    <t>INSTRUCTOR, EXTENDED DAY</t>
  </si>
  <si>
    <t>2026</t>
  </si>
  <si>
    <t>OPP TEACHER VOC</t>
  </si>
  <si>
    <t>2027</t>
  </si>
  <si>
    <t>OPP TEACHER NON VOC</t>
  </si>
  <si>
    <t>2030</t>
  </si>
  <si>
    <t>OPP TEACHER, EVE</t>
  </si>
  <si>
    <t>2032</t>
  </si>
  <si>
    <t>OPP TEACHER, MDTA EVE</t>
  </si>
  <si>
    <t>2033</t>
  </si>
  <si>
    <t>OPP TEACHER, DAY</t>
  </si>
  <si>
    <t>2035</t>
  </si>
  <si>
    <t>OPP TEACHER, MDTA DAY</t>
  </si>
  <si>
    <t>2036</t>
  </si>
  <si>
    <t>OPP TEACHER FT VOC ED</t>
  </si>
  <si>
    <t>2207</t>
  </si>
  <si>
    <t>CUSTODIAN PART-TIME</t>
  </si>
  <si>
    <t>2208</t>
  </si>
  <si>
    <t>SWEEPER</t>
  </si>
  <si>
    <t>2210</t>
  </si>
  <si>
    <t>CUSTODIAN - PT - 2 JOBS</t>
  </si>
  <si>
    <t>2404</t>
  </si>
  <si>
    <t>CHEERLEADING DIRECTOR</t>
  </si>
  <si>
    <t>3313</t>
  </si>
  <si>
    <t>TEACHER, LONG TERM SUB ELEM</t>
  </si>
  <si>
    <t>3314</t>
  </si>
  <si>
    <t>TEACHER, SHORT TERM SUB</t>
  </si>
  <si>
    <t>3324</t>
  </si>
  <si>
    <t>TEACHER, LONG TERM SUB MS</t>
  </si>
  <si>
    <t>3325</t>
  </si>
  <si>
    <t>TEACHER, LONG TERM SUB HS</t>
  </si>
  <si>
    <t>3398</t>
  </si>
  <si>
    <t>TEACHER, RETRD SHRT TERM SUB</t>
  </si>
  <si>
    <t>3601</t>
  </si>
  <si>
    <t>COACH</t>
  </si>
  <si>
    <t>3602</t>
  </si>
  <si>
    <t>ASST COACH</t>
  </si>
  <si>
    <t>3605</t>
  </si>
  <si>
    <t>MIDDLE SCHOOL ATHLETICS</t>
  </si>
  <si>
    <t>4122</t>
  </si>
  <si>
    <t>FOOD SERVICE WORKER</t>
  </si>
  <si>
    <t>4123</t>
  </si>
  <si>
    <t>FOOD SERVICE ASSISTANT</t>
  </si>
  <si>
    <t>4131</t>
  </si>
  <si>
    <t>MANAGER, FOOD SERVICE</t>
  </si>
  <si>
    <t>4132</t>
  </si>
  <si>
    <t>FOOD SERVICE SUBSTITUTE</t>
  </si>
  <si>
    <t>4196</t>
  </si>
  <si>
    <t>DRIVER, FOOD DELIVERY</t>
  </si>
  <si>
    <t>4197</t>
  </si>
  <si>
    <t>FOOD SERVICE AIDE</t>
  </si>
  <si>
    <t>5205</t>
  </si>
  <si>
    <t>8 HOUR BUS DRIVER 5+ Yrs</t>
  </si>
  <si>
    <t>5207</t>
  </si>
  <si>
    <t>BUS DRIVER 1 to 4 Yrs</t>
  </si>
  <si>
    <t>5208</t>
  </si>
  <si>
    <t>BUS DRIVER LESS THAN 1 YR</t>
  </si>
  <si>
    <t>6211</t>
  </si>
  <si>
    <t>COORDINATOR, HOURLY</t>
  </si>
  <si>
    <t>6257</t>
  </si>
  <si>
    <t>COMMUNITY SCHOOL CHILD CARE</t>
  </si>
  <si>
    <t>6260</t>
  </si>
  <si>
    <t>COMMUNITY SCHOOL INSTRUCTOR</t>
  </si>
  <si>
    <t>6321</t>
  </si>
  <si>
    <t>FOOD SVC WRK STDY STUDNT</t>
  </si>
  <si>
    <t>6504</t>
  </si>
  <si>
    <t>SPECIALIST, WORK STUDY</t>
  </si>
  <si>
    <t>6506</t>
  </si>
  <si>
    <t>STUDENT PROGRAMS</t>
  </si>
  <si>
    <t>6541</t>
  </si>
  <si>
    <t>TUTOR, HOURLY</t>
  </si>
  <si>
    <t>6603</t>
  </si>
  <si>
    <t>SCHOOL CROSSING GUARD</t>
  </si>
  <si>
    <t>6625</t>
  </si>
  <si>
    <t>ATHLETIC TRAINER</t>
  </si>
  <si>
    <t>7000</t>
  </si>
  <si>
    <t>CAMPUS SECURITY OFFICER</t>
  </si>
  <si>
    <t>7001</t>
  </si>
  <si>
    <t>GENL FACILITY SEC OFFICER</t>
  </si>
  <si>
    <t>7010</t>
  </si>
  <si>
    <t>ELA TRANSLATOR/INTERPRETER</t>
  </si>
  <si>
    <t>7013</t>
  </si>
  <si>
    <t>GENERAL OFFICE</t>
  </si>
  <si>
    <t>7014</t>
  </si>
  <si>
    <t>STUDENT MONITOR</t>
  </si>
  <si>
    <t>7026</t>
  </si>
  <si>
    <t>OCC/PHYSICAL THERAPIST TECH</t>
  </si>
  <si>
    <t>7028</t>
  </si>
  <si>
    <t>SPEC ED ASST, BRAILLE INTER</t>
  </si>
  <si>
    <t>7032</t>
  </si>
  <si>
    <t>SEVERE/PROFOUND/COMM ASST</t>
  </si>
  <si>
    <t>7034</t>
  </si>
  <si>
    <t>SPEC ED ASST, BEHAVIOR MGT</t>
  </si>
  <si>
    <t>7044</t>
  </si>
  <si>
    <t>AFTER SCHOOL TUTOR</t>
  </si>
  <si>
    <t>7045</t>
  </si>
  <si>
    <t>EARLY CHILDOOD EDUCATION</t>
  </si>
  <si>
    <t>7051</t>
  </si>
  <si>
    <t>SPECIAL NEEDS, BUS ASST</t>
  </si>
  <si>
    <t>7056</t>
  </si>
  <si>
    <t>TECH PREP RESOURCE</t>
  </si>
  <si>
    <t>7060</t>
  </si>
  <si>
    <t>EXTENDED DAY KINDER ASST</t>
  </si>
  <si>
    <t>7066</t>
  </si>
  <si>
    <t>SR TOOLROOM</t>
  </si>
  <si>
    <t>7067</t>
  </si>
  <si>
    <t>TOOLROOM</t>
  </si>
  <si>
    <t>7068</t>
  </si>
  <si>
    <t>PRE-SCHOOL AIDE</t>
  </si>
  <si>
    <t>7070</t>
  </si>
  <si>
    <t>TEST ADMIN ASST</t>
  </si>
  <si>
    <t>7076</t>
  </si>
  <si>
    <t>FINANCIAL AID OFFICER</t>
  </si>
  <si>
    <t>7079</t>
  </si>
  <si>
    <t>PARENT ED TEACHER ASST</t>
  </si>
  <si>
    <t>7080</t>
  </si>
  <si>
    <t>STATISTICIAN</t>
  </si>
  <si>
    <t>7091</t>
  </si>
  <si>
    <t>COMM-SCHOOL LIAISON</t>
  </si>
  <si>
    <t>7098</t>
  </si>
  <si>
    <t>VISION ITINERANT ASST</t>
  </si>
  <si>
    <t>7100</t>
  </si>
  <si>
    <t>BALARAT ASSISTANT</t>
  </si>
  <si>
    <t>7105</t>
  </si>
  <si>
    <t>ELEMENTARY SPEC ED PARA</t>
  </si>
  <si>
    <t>7106</t>
  </si>
  <si>
    <t>SECONDARY SPEC ED PARA</t>
  </si>
  <si>
    <t>7111</t>
  </si>
  <si>
    <t>RESTORATIVE JUSTICE PARA</t>
  </si>
  <si>
    <t>7116</t>
  </si>
  <si>
    <t>CAREER EDUCATION PARA</t>
  </si>
  <si>
    <t>7127</t>
  </si>
  <si>
    <t>CHILD CARE GRP LDR, SENIOR</t>
  </si>
  <si>
    <t>7200</t>
  </si>
  <si>
    <t>SPEC ED PARA SUB/SEV-PROFND</t>
  </si>
  <si>
    <t>7201</t>
  </si>
  <si>
    <t>EARLY CHILDHD SUB PARA</t>
  </si>
  <si>
    <t>7211</t>
  </si>
  <si>
    <t>CAREER RESOURCE DEV SPEC</t>
  </si>
  <si>
    <t>7220</t>
  </si>
  <si>
    <t>ITINERANT SPECIAL ED PARA</t>
  </si>
  <si>
    <t>9203</t>
  </si>
  <si>
    <t>MISC FEE BASIS</t>
  </si>
  <si>
    <t>9204</t>
  </si>
  <si>
    <t>MISC PERIODIC</t>
  </si>
  <si>
    <t>9205</t>
  </si>
  <si>
    <t>EGOS, MISC PERIODIC</t>
  </si>
  <si>
    <t>9206</t>
  </si>
  <si>
    <t>OPP SCHOOL, CHE WK</t>
  </si>
  <si>
    <t>9209</t>
  </si>
  <si>
    <t>EGOS MISC TA</t>
  </si>
  <si>
    <t>9990</t>
  </si>
  <si>
    <t>TEMPORARY EMPLOYEE</t>
  </si>
  <si>
    <t>9991</t>
  </si>
  <si>
    <t>TEMPORARY TUTOR</t>
  </si>
  <si>
    <t>9993</t>
  </si>
  <si>
    <t>AMERICORP HOURLY</t>
  </si>
  <si>
    <t>9994</t>
  </si>
  <si>
    <t>TEMPORARY EMPLOYEE-EXEMPT</t>
  </si>
  <si>
    <t>Title I - ARRA PARA</t>
  </si>
  <si>
    <t>Title I - ARRA LIBRARY MEDIA PARA</t>
  </si>
  <si>
    <t>TITLE I PARA</t>
  </si>
  <si>
    <t>TITLE I LIBRRARY MEDIA PARA</t>
  </si>
  <si>
    <t>TITLE I STAFF DEVELOPMENT PARA</t>
  </si>
  <si>
    <t>ECE Tuition Based Para</t>
  </si>
  <si>
    <t>ECE CPP Para</t>
  </si>
  <si>
    <t>ECE Head Start Para</t>
  </si>
  <si>
    <t>ECE Head Start - ARRA Funded Para</t>
  </si>
  <si>
    <t>Kinder Tuition Based Para</t>
  </si>
  <si>
    <t>Kinder GF Program Para</t>
  </si>
  <si>
    <t>Kinder Advanced Para</t>
  </si>
  <si>
    <t>Kinder - All Day Para (Formerly Mill Levy)</t>
  </si>
  <si>
    <t>Kinder CPP Para</t>
  </si>
  <si>
    <t>ELA PARA</t>
  </si>
  <si>
    <t>INPUT SUMMARY</t>
  </si>
  <si>
    <t>INPUT SUMMARY - Table 1</t>
  </si>
  <si>
    <t>3140</t>
  </si>
  <si>
    <t>FUND</t>
  </si>
  <si>
    <t>10</t>
  </si>
  <si>
    <t>19</t>
  </si>
  <si>
    <t>29</t>
  </si>
  <si>
    <t>20</t>
  </si>
  <si>
    <t>28</t>
  </si>
  <si>
    <t>16</t>
  </si>
  <si>
    <t>12</t>
  </si>
  <si>
    <t>LOC</t>
  </si>
  <si>
    <t>SRE</t>
  </si>
  <si>
    <t>PROG</t>
  </si>
  <si>
    <t>1701</t>
  </si>
  <si>
    <t>0070</t>
  </si>
  <si>
    <t>0040</t>
  </si>
  <si>
    <t>PROJ</t>
  </si>
  <si>
    <t>0000</t>
  </si>
  <si>
    <t>3145</t>
  </si>
  <si>
    <t>3146</t>
  </si>
  <si>
    <t>0079</t>
  </si>
  <si>
    <t>0011</t>
  </si>
  <si>
    <t>0019</t>
  </si>
  <si>
    <t>0020</t>
  </si>
  <si>
    <t>3133</t>
  </si>
  <si>
    <t>3150</t>
  </si>
  <si>
    <t>3147</t>
  </si>
  <si>
    <t>1098</t>
  </si>
  <si>
    <t>3141</t>
  </si>
  <si>
    <t>1913</t>
  </si>
  <si>
    <t>8708</t>
  </si>
  <si>
    <t>8600</t>
  </si>
  <si>
    <t>1911</t>
  </si>
  <si>
    <t>1912</t>
  </si>
  <si>
    <t>1923</t>
  </si>
  <si>
    <t>3142</t>
  </si>
  <si>
    <t>0086</t>
  </si>
  <si>
    <t>0087</t>
  </si>
  <si>
    <t>0082</t>
  </si>
  <si>
    <t>0083</t>
  </si>
  <si>
    <t>4010</t>
  </si>
  <si>
    <t>4367</t>
  </si>
  <si>
    <t>4389</t>
  </si>
  <si>
    <t>0009</t>
  </si>
  <si>
    <t>0141</t>
  </si>
  <si>
    <t>JC</t>
  </si>
  <si>
    <t>HIDE FOR NON 6-12</t>
  </si>
  <si>
    <t>OBJ</t>
  </si>
  <si>
    <t>GF Base per Pupil $</t>
  </si>
  <si>
    <t>hide</t>
  </si>
  <si>
    <t>GF Small School Factor $</t>
  </si>
  <si>
    <t>EA Current Year - Dollars</t>
  </si>
  <si>
    <t>TI Current Year - Dollars</t>
  </si>
  <si>
    <t>Total Resources to School - MM</t>
  </si>
  <si>
    <t>ECE Head start $</t>
  </si>
  <si>
    <t>Special Kinder Tuition Base $</t>
  </si>
  <si>
    <t>GF Kinder $</t>
  </si>
  <si>
    <t>Special Kinder Advanced Tuition $</t>
  </si>
  <si>
    <t>2003 Mill Levy Kinder $</t>
  </si>
  <si>
    <t>CPP - Kinder $</t>
  </si>
  <si>
    <t>Title I - ARRA</t>
  </si>
  <si>
    <t>SBB FUNDING</t>
  </si>
  <si>
    <t>NON-SBB FUNDING</t>
  </si>
  <si>
    <t>FUND 10</t>
  </si>
  <si>
    <t>ECE</t>
  </si>
  <si>
    <t>KINDER</t>
  </si>
  <si>
    <t>FUND 12</t>
  </si>
  <si>
    <t>FUND 16</t>
  </si>
  <si>
    <t>FUND 28</t>
  </si>
  <si>
    <t>FUND 20</t>
  </si>
  <si>
    <t>JOB</t>
  </si>
  <si>
    <t>NON</t>
  </si>
  <si>
    <t>ELA E</t>
  </si>
  <si>
    <t>ELA S</t>
  </si>
  <si>
    <t>ARTS</t>
  </si>
  <si>
    <t>AA</t>
  </si>
  <si>
    <t>GENERAL FUND DISCRETIONARY</t>
  </si>
  <si>
    <t>EXTRA ALLOCATIONS</t>
  </si>
  <si>
    <t>TARGETED INTERVENTIONS</t>
  </si>
  <si>
    <t>MILD MODERATE</t>
  </si>
  <si>
    <t>GT</t>
  </si>
  <si>
    <t>ESL &amp; ELA PARA</t>
  </si>
  <si>
    <t>READING RECOVERY</t>
  </si>
  <si>
    <t>TOTAL ECE</t>
  </si>
  <si>
    <t>ECE CPP</t>
  </si>
  <si>
    <t xml:space="preserve">ECE TUITION BASED </t>
  </si>
  <si>
    <t>ECE HEAD START - ARRA FUNDED</t>
  </si>
  <si>
    <t>ECE HEAD START</t>
  </si>
  <si>
    <t>TOTAL KINDER</t>
  </si>
  <si>
    <t>Kinder TUITION BASED</t>
  </si>
  <si>
    <t>Kinder GENERAL FUND</t>
  </si>
  <si>
    <t>Kinder ADVANCED KINDER</t>
  </si>
  <si>
    <t>Kinder MILL LEVY</t>
  </si>
  <si>
    <t>Kinder CPP</t>
  </si>
  <si>
    <t>ACADEMIC SUPPORT (FACILITATOR) FUND 12</t>
  </si>
  <si>
    <t>TECHNOLOGY FUND 12</t>
  </si>
  <si>
    <t>LIBRARY FUND 12 (MANAGED BY ERS)</t>
  </si>
  <si>
    <t>ART AND MUSIC FUND 16</t>
  </si>
  <si>
    <t>TEXTBOOKS FUND 16</t>
  </si>
  <si>
    <t>TITLE I</t>
  </si>
  <si>
    <t>TITLE II</t>
  </si>
  <si>
    <t>Title III and ELPA Grant</t>
  </si>
  <si>
    <t>CLASS SIZE RELIEF</t>
  </si>
  <si>
    <t>SIG</t>
  </si>
  <si>
    <t>2010-2011 BUDGET ALLOCATION</t>
  </si>
  <si>
    <t>FT ACCOUNTS</t>
  </si>
  <si>
    <t>LIBRARY TECH FULL TIME STAFF</t>
  </si>
  <si>
    <t>PT ACCOUNTS</t>
  </si>
  <si>
    <t>ADMINISTRATIVE PART TIME STAFF</t>
  </si>
  <si>
    <t>TEACHING PART TIME STAFF</t>
  </si>
  <si>
    <t>PRO-TECH PART TIME STAFF</t>
  </si>
  <si>
    <t>PARAPROFESSIONAL STAFF</t>
  </si>
  <si>
    <t>CLERICAL PART TIME STAFF</t>
  </si>
  <si>
    <t>CUSTODIAL PART TIME STAFF</t>
  </si>
  <si>
    <t>11</t>
  </si>
  <si>
    <t>0</t>
  </si>
  <si>
    <t>INSTRUCTIONAL ACCOUNTS</t>
  </si>
  <si>
    <t>22</t>
  </si>
  <si>
    <t>2222</t>
  </si>
  <si>
    <t>0614</t>
  </si>
  <si>
    <t>ELECTRONIC MEDIA MATERIALS</t>
  </si>
  <si>
    <t>0851</t>
  </si>
  <si>
    <t>0735</t>
  </si>
  <si>
    <t>0640</t>
  </si>
  <si>
    <t>0339</t>
  </si>
  <si>
    <t>0430</t>
  </si>
  <si>
    <t>0580</t>
  </si>
  <si>
    <t>0690</t>
  </si>
  <si>
    <t>OTHER SUPPLIES</t>
  </si>
  <si>
    <t>0590</t>
  </si>
  <si>
    <t>OTHER PURCHASED SERVICES</t>
  </si>
  <si>
    <t>0810</t>
  </si>
  <si>
    <t>0695</t>
  </si>
  <si>
    <t>OTHER - Choose Object from Dropdown Below</t>
  </si>
  <si>
    <t>INSTRUCTIONAL ACCOUNTS TOTAL</t>
  </si>
  <si>
    <t>OBJECT - Choose from Dropdown</t>
  </si>
  <si>
    <t>DEPT - Choose from Dropdown</t>
  </si>
  <si>
    <t>HS DEPARTMENTAL INSTRUCTIONAL ACCOUNTS</t>
  </si>
  <si>
    <t>HS DEPT INSTRUCTIONAL ACCOUNTSTOTAL</t>
  </si>
  <si>
    <t>2213</t>
  </si>
  <si>
    <t>STAFF DEVELOPMENT ACCOUNTS</t>
  </si>
  <si>
    <t>STAFF DEVELOPMENT SUBS - SALARIES OF PART TIME EMPLOYEE</t>
  </si>
  <si>
    <t>2</t>
  </si>
  <si>
    <t>0150</t>
  </si>
  <si>
    <t>STAFF DEVELOPMENT TEACHER ADDITIONAL/EXTRA DUTY PAY/STIP</t>
  </si>
  <si>
    <t>0200</t>
  </si>
  <si>
    <t>STAFF DEVELOPMENT EMPLOYEE BENEFITS</t>
  </si>
  <si>
    <t>4</t>
  </si>
  <si>
    <t>0334</t>
  </si>
  <si>
    <t>CONSULTANT SERVICES</t>
  </si>
  <si>
    <t>0533</t>
  </si>
  <si>
    <t>POSTAGE</t>
  </si>
  <si>
    <t>0550</t>
  </si>
  <si>
    <t>PRINTING, BINDING, DUPLICATING</t>
  </si>
  <si>
    <t>0582</t>
  </si>
  <si>
    <t>OUT-OF-STATE TRAVEL</t>
  </si>
  <si>
    <t>0583</t>
  </si>
  <si>
    <t>MILEAGE REIMBURSEMENT</t>
  </si>
  <si>
    <t>STAFF DEVELOPMENT ACCOUNTSTOTAL</t>
  </si>
  <si>
    <t>24</t>
  </si>
  <si>
    <t>2410</t>
  </si>
  <si>
    <t>ADMINISTRATIVE / OTHER ACCOUNTS</t>
  </si>
  <si>
    <t>0442</t>
  </si>
  <si>
    <t>RENTAL OF EQUIPMENT</t>
  </si>
  <si>
    <t>0531</t>
  </si>
  <si>
    <t>TELEPHONE/FACSIMILE SERVICES</t>
  </si>
  <si>
    <t>0611</t>
  </si>
  <si>
    <t>SUPPLEMENTAL PERIODICALS</t>
  </si>
  <si>
    <t>0618</t>
  </si>
  <si>
    <t>FACILITY-EMPAC MAINT MATERIALS</t>
  </si>
  <si>
    <t>964</t>
  </si>
  <si>
    <t>14</t>
  </si>
  <si>
    <t>1800</t>
  </si>
  <si>
    <t>3</t>
  </si>
  <si>
    <t>0899</t>
  </si>
  <si>
    <t>GUEST TEACHERS - HOLDING</t>
  </si>
  <si>
    <t>ADMINISTRATIVE / OTHER ACCOUNTS TOTAL</t>
  </si>
  <si>
    <t>OT / EXTRA PAY ACCOUNTS</t>
  </si>
  <si>
    <t>INSTRUCTIONAL TEACHER ADDITIONAL/EXTRA DUTY PAY/STIP</t>
  </si>
  <si>
    <t>TEACHER SUBS</t>
  </si>
  <si>
    <t>INSTRUCTIONAL TEACHER BENEFITS FOR EXTRA PAY</t>
  </si>
  <si>
    <t>0130</t>
  </si>
  <si>
    <t>PRO TECH SALARIES FOR OVERTIME</t>
  </si>
  <si>
    <t>PRO TECH ADDITIONAL/EXTRA DUTY PAY/STIP</t>
  </si>
  <si>
    <t>PRO TECH EMPLOYEE BENEFITS</t>
  </si>
  <si>
    <t>PARA SALARIES FOR OVERTIME</t>
  </si>
  <si>
    <t>PARA ADDITIONAL/EXTRA DUTY PAY/STIP</t>
  </si>
  <si>
    <t>PARA EMPLOYEE BENEFITS</t>
  </si>
  <si>
    <t>5</t>
  </si>
  <si>
    <t>CLERICAL SALARIES FOR OVERTIME</t>
  </si>
  <si>
    <t>CLERICAL ADDITIONAL/EXTRA DUTY PAY/STIP</t>
  </si>
  <si>
    <t>CLERICAL EMPLOYEE BENEFITS</t>
  </si>
  <si>
    <t>21</t>
  </si>
  <si>
    <t>2120</t>
  </si>
  <si>
    <t>COUNSELOR ADDITIONAL/EXTRA DUTY PAY/STIP</t>
  </si>
  <si>
    <t>COUNSELOR EMPLOYEE BENEFITS</t>
  </si>
  <si>
    <t>OVERTIME / EXTRA PAY ACCOUNTS TOTAL</t>
  </si>
  <si>
    <t>2113</t>
  </si>
  <si>
    <t>STUDENT SERVICES ACCOUNTS</t>
  </si>
  <si>
    <t>SOCIAL WORK TRAVEL AND REGISTRATION</t>
  </si>
  <si>
    <t>SOCIAL WORK GENERAL SUPPLIES</t>
  </si>
  <si>
    <t>SOCIAL WORK TESTS</t>
  </si>
  <si>
    <t>SOCIAL WORK BOOKS AND PERIODICALS</t>
  </si>
  <si>
    <t>SOCIAL WORK SALARIES OF PART TIME EMPLOYEE</t>
  </si>
  <si>
    <t>SOCIAL WORK EMPLOYEE BENEFITS</t>
  </si>
  <si>
    <t>2134</t>
  </si>
  <si>
    <t>NURSING TRAVEL AND REGISTRATION</t>
  </si>
  <si>
    <t>NURSING GENERAL SUPPLIES</t>
  </si>
  <si>
    <t>NURSING TESTS</t>
  </si>
  <si>
    <t>NURSING BOOKS AND PERIODICALS</t>
  </si>
  <si>
    <t>NURSING SALARIES OF PART TIME EMPLOYEE</t>
  </si>
  <si>
    <t>NURSING EMPLOYEE BENEFITS</t>
  </si>
  <si>
    <t>2140</t>
  </si>
  <si>
    <t>PSYCHOLOGIST TRAVEL AND REGISTRATION</t>
  </si>
  <si>
    <t>PSYCHOLOGIST GENERAL SUPPLIES</t>
  </si>
  <si>
    <t>PSYCHOLOGIST TESTS</t>
  </si>
  <si>
    <t>PSYCHOLOGIST BOOKS AND PERIODICALS</t>
  </si>
  <si>
    <t>PSYCHOLOGIST SALARIES OF PART TIME EMPLOYEE</t>
  </si>
  <si>
    <t>PSYCHOLOGIST EMPLOYEE BENEFITS</t>
  </si>
  <si>
    <t>OTHER - Choose Type and Object from Dropdowns Below</t>
  </si>
  <si>
    <t>STUDENT SERVICES ACCOUNTS TOTAL</t>
  </si>
  <si>
    <t>33</t>
  </si>
  <si>
    <t>PARENT INVOLVEMENT ACCOUNTS</t>
  </si>
  <si>
    <t>EXTRA HOURS - PARA</t>
  </si>
  <si>
    <t>EXTRA HOURS - PARA BENEFITS</t>
  </si>
  <si>
    <t>EXTRA HOURS - TEACHERS</t>
  </si>
  <si>
    <t>EXTRA HOURS - TEACHER BENEFITS</t>
  </si>
  <si>
    <t>6</t>
  </si>
  <si>
    <t>CUSTODIAL OVERTIME</t>
  </si>
  <si>
    <t>CUSTODIAL OVERTIME - BENEFITS</t>
  </si>
  <si>
    <t>0441</t>
  </si>
  <si>
    <t>RENTAL OF LAND AND BUILDINGS</t>
  </si>
  <si>
    <t>0515</t>
  </si>
  <si>
    <t>STUDENT TRANSP - CONTRACTORS</t>
  </si>
  <si>
    <t>PARENT INVOLVEMENT ACCOUNTS TOTAL</t>
  </si>
  <si>
    <t>10278110010314520110</t>
  </si>
  <si>
    <t>NEW ACCOUNTS TOTAL</t>
  </si>
  <si>
    <t>10964141800000030111</t>
  </si>
  <si>
    <t>CSR</t>
  </si>
  <si>
    <t>Teacher/ Hanban</t>
  </si>
  <si>
    <t>Teacher/ Arabic/French</t>
  </si>
  <si>
    <t>Tutors</t>
  </si>
  <si>
    <t>Tutor Manager</t>
  </si>
  <si>
    <t>EdLabs Extended Day</t>
  </si>
  <si>
    <t>EdLabs Extended Year</t>
  </si>
  <si>
    <t>STAFFING EXPENSE</t>
  </si>
  <si>
    <t>EXTENDED DAY AND YEAR</t>
  </si>
  <si>
    <t>TOTAL STAFFING EXPENSE</t>
  </si>
  <si>
    <t>TOTAL EXPENSES</t>
  </si>
  <si>
    <t>TOTAL REVENUE</t>
  </si>
  <si>
    <t>NON-STAFFING EXPENSES</t>
  </si>
  <si>
    <t>STAFFING EXPENSES</t>
  </si>
  <si>
    <t>SURPLUS/(DEFICIT)</t>
  </si>
  <si>
    <t xml:space="preserve">DCIS AT MONTBELLO </t>
  </si>
  <si>
    <t>TYPE</t>
  </si>
  <si>
    <t>EdLabs Funding</t>
  </si>
</sst>
</file>

<file path=xl/styles.xml><?xml version="1.0" encoding="utf-8"?>
<styleSheet xmlns="http://schemas.openxmlformats.org/spreadsheetml/2006/main">
  <numFmts count="7">
    <numFmt numFmtId="41" formatCode="_(* #,##0_);_(* \(#,##0\);_(* &quot;-&quot;_);_(@_)"/>
    <numFmt numFmtId="43" formatCode="_(* #,##0.00_);_(* \(#,##0.00\);_(* &quot;-&quot;??_);_(@_)"/>
    <numFmt numFmtId="164" formatCode="_-&quot;$&quot;* #,##0_-;_-&quot;$&quot;* \(#,##0\)_-;_-&quot;$&quot;* &quot;-&quot;??;_-@_-"/>
    <numFmt numFmtId="165" formatCode="\ * #,##0\ ;\ * \(#,##0\);\ * &quot;-&quot;??\ "/>
    <numFmt numFmtId="166" formatCode="\ * #,##0.00\ ;\ * \(#,##0.00\);\ * &quot;-&quot;??\ "/>
    <numFmt numFmtId="167" formatCode="_-&quot;$&quot;* #,##0.00_-;_-&quot;$&quot;* \(#,##0.00\)_-;_-&quot;$&quot;* &quot;-&quot;??;_-@_-"/>
    <numFmt numFmtId="168" formatCode="_(* #,##0_);_(* \(#,##0\);_(* &quot;-&quot;??_);_(@_)"/>
  </numFmts>
  <fonts count="22">
    <font>
      <sz val="11"/>
      <color indexed="8"/>
      <name val="Helvetica Neue"/>
    </font>
    <font>
      <sz val="12"/>
      <color indexed="8"/>
      <name val="Helvetica Neue"/>
    </font>
    <font>
      <sz val="12"/>
      <color indexed="10"/>
      <name val="Helvetica Neue"/>
    </font>
    <font>
      <sz val="14"/>
      <color indexed="8"/>
      <name val="Helvetica Neue"/>
    </font>
    <font>
      <u/>
      <sz val="12"/>
      <color indexed="12"/>
      <name val="Helvetica Neue"/>
    </font>
    <font>
      <sz val="10"/>
      <color indexed="10"/>
      <name val="Arial"/>
      <family val="2"/>
    </font>
    <font>
      <sz val="10"/>
      <color indexed="10"/>
      <name val="Arial Bold"/>
    </font>
    <font>
      <u/>
      <sz val="10"/>
      <color indexed="10"/>
      <name val="Arial Bold"/>
    </font>
    <font>
      <u/>
      <sz val="10"/>
      <color indexed="10"/>
      <name val="Arial"/>
      <family val="2"/>
    </font>
    <font>
      <sz val="11"/>
      <color indexed="10"/>
      <name val="Lucida Grande"/>
    </font>
    <font>
      <b/>
      <sz val="11"/>
      <color indexed="10"/>
      <name val="Lucida Grande"/>
    </font>
    <font>
      <sz val="12"/>
      <color indexed="10"/>
      <name val="Arial"/>
      <family val="2"/>
    </font>
    <font>
      <sz val="14"/>
      <color indexed="10"/>
      <name val="Arial Bold"/>
    </font>
    <font>
      <sz val="12"/>
      <color indexed="10"/>
      <name val="Arial Bold"/>
    </font>
    <font>
      <u/>
      <sz val="12"/>
      <color indexed="10"/>
      <name val="Arial Bold"/>
    </font>
    <font>
      <sz val="14"/>
      <color indexed="10"/>
      <name val="Arial"/>
      <family val="2"/>
    </font>
    <font>
      <sz val="11"/>
      <color indexed="10"/>
      <name val="Arial"/>
      <family val="2"/>
    </font>
    <font>
      <sz val="9"/>
      <color indexed="10"/>
      <name val="Arial Bold"/>
    </font>
    <font>
      <sz val="10"/>
      <color indexed="10"/>
      <name val="Arial"/>
      <family val="2"/>
    </font>
    <font>
      <sz val="11"/>
      <color indexed="8"/>
      <name val="Helvetica Neue"/>
    </font>
    <font>
      <b/>
      <sz val="11"/>
      <color indexed="8"/>
      <name val="Helvetica Neue"/>
    </font>
    <font>
      <b/>
      <sz val="10"/>
      <color indexed="10"/>
      <name val="Arial"/>
      <family val="2"/>
    </font>
  </fonts>
  <fills count="22">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4"/>
        <bgColor indexed="64"/>
      </patternFill>
    </fill>
    <fill>
      <patternFill patternType="solid">
        <fgColor indexed="16"/>
        <bgColor indexed="64"/>
      </patternFill>
    </fill>
    <fill>
      <patternFill patternType="solid">
        <fgColor indexed="17"/>
        <bgColor indexed="64"/>
      </patternFill>
    </fill>
    <fill>
      <patternFill patternType="solid">
        <fgColor indexed="18"/>
        <bgColor indexed="64"/>
      </patternFill>
    </fill>
    <fill>
      <patternFill patternType="solid">
        <fgColor indexed="19"/>
        <bgColor indexed="64"/>
      </patternFill>
    </fill>
    <fill>
      <patternFill patternType="solid">
        <fgColor indexed="20"/>
        <bgColor indexed="64"/>
      </patternFill>
    </fill>
    <fill>
      <patternFill patternType="solid">
        <fgColor indexed="21"/>
        <bgColor indexed="64"/>
      </patternFill>
    </fill>
    <fill>
      <patternFill patternType="solid">
        <fgColor indexed="22"/>
        <bgColor indexed="64"/>
      </patternFill>
    </fill>
    <fill>
      <patternFill patternType="solid">
        <fgColor indexed="24"/>
        <bgColor indexed="64"/>
      </patternFill>
    </fill>
    <fill>
      <patternFill patternType="solid">
        <fgColor indexed="25"/>
        <bgColor indexed="64"/>
      </patternFill>
    </fill>
    <fill>
      <patternFill patternType="solid">
        <fgColor indexed="26"/>
        <bgColor indexed="64"/>
      </patternFill>
    </fill>
    <fill>
      <patternFill patternType="solid">
        <fgColor indexed="27"/>
        <bgColor indexed="64"/>
      </patternFill>
    </fill>
    <fill>
      <patternFill patternType="solid">
        <fgColor indexed="28"/>
        <bgColor indexed="64"/>
      </patternFill>
    </fill>
    <fill>
      <patternFill patternType="solid">
        <fgColor indexed="30"/>
        <bgColor indexed="64"/>
      </patternFill>
    </fill>
    <fill>
      <patternFill patternType="solid">
        <fgColor indexed="31"/>
        <bgColor indexed="64"/>
      </patternFill>
    </fill>
    <fill>
      <patternFill patternType="solid">
        <fgColor rgb="FFFFFF00"/>
        <bgColor indexed="64"/>
      </patternFill>
    </fill>
    <fill>
      <patternFill patternType="solid">
        <fgColor rgb="FFFFC000"/>
        <bgColor indexed="64"/>
      </patternFill>
    </fill>
  </fills>
  <borders count="111">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5"/>
      </right>
      <top style="thin">
        <color indexed="10"/>
      </top>
      <bottom style="thin">
        <color indexed="10"/>
      </bottom>
      <diagonal/>
    </border>
    <border>
      <left style="thin">
        <color indexed="15"/>
      </left>
      <right style="thin">
        <color indexed="15"/>
      </right>
      <top style="thin">
        <color indexed="10"/>
      </top>
      <bottom style="thin">
        <color indexed="10"/>
      </bottom>
      <diagonal/>
    </border>
    <border>
      <left style="thin">
        <color indexed="15"/>
      </left>
      <right style="thin">
        <color indexed="10"/>
      </right>
      <top style="thin">
        <color indexed="10"/>
      </top>
      <bottom style="thin">
        <color indexed="10"/>
      </bottom>
      <diagonal/>
    </border>
    <border>
      <left style="thin">
        <color indexed="15"/>
      </left>
      <right style="thin">
        <color indexed="15"/>
      </right>
      <top style="thin">
        <color indexed="15"/>
      </top>
      <bottom style="thin">
        <color indexed="15"/>
      </bottom>
      <diagonal/>
    </border>
    <border>
      <left style="thin">
        <color indexed="10"/>
      </left>
      <right style="thin">
        <color indexed="15"/>
      </right>
      <top style="thin">
        <color indexed="15"/>
      </top>
      <bottom style="thin">
        <color indexed="15"/>
      </bottom>
      <diagonal/>
    </border>
    <border>
      <left style="thin">
        <color indexed="15"/>
      </left>
      <right style="thin">
        <color indexed="15"/>
      </right>
      <top style="thin">
        <color indexed="10"/>
      </top>
      <bottom style="thin">
        <color indexed="15"/>
      </bottom>
      <diagonal/>
    </border>
    <border>
      <left style="thin">
        <color indexed="15"/>
      </left>
      <right style="thin">
        <color indexed="15"/>
      </right>
      <top style="thin">
        <color indexed="15"/>
      </top>
      <bottom style="thin">
        <color indexed="10"/>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thin">
        <color indexed="15"/>
      </top>
      <bottom style="thin">
        <color indexed="15"/>
      </bottom>
      <diagonal/>
    </border>
    <border>
      <left/>
      <right/>
      <top style="thin">
        <color indexed="10"/>
      </top>
      <bottom/>
      <diagonal/>
    </border>
    <border>
      <left/>
      <right style="thin">
        <color indexed="15"/>
      </right>
      <top style="thin">
        <color indexed="15"/>
      </top>
      <bottom style="thin">
        <color indexed="15"/>
      </bottom>
      <diagonal/>
    </border>
    <border>
      <left style="thin">
        <color indexed="15"/>
      </left>
      <right style="thin">
        <color indexed="15"/>
      </right>
      <top/>
      <bottom style="medium">
        <color indexed="10"/>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style="thin">
        <color indexed="15"/>
      </right>
      <top style="thin">
        <color indexed="15"/>
      </top>
      <bottom style="thin">
        <color indexed="15"/>
      </bottom>
      <diagonal/>
    </border>
    <border>
      <left style="medium">
        <color indexed="10"/>
      </left>
      <right style="thin">
        <color indexed="10"/>
      </right>
      <top style="medium">
        <color indexed="10"/>
      </top>
      <bottom style="medium">
        <color indexed="10"/>
      </bottom>
      <diagonal/>
    </border>
    <border>
      <left style="thin">
        <color indexed="10"/>
      </left>
      <right style="thin">
        <color indexed="10"/>
      </right>
      <top style="medium">
        <color indexed="10"/>
      </top>
      <bottom style="medium">
        <color indexed="10"/>
      </bottom>
      <diagonal/>
    </border>
    <border>
      <left style="thin">
        <color indexed="10"/>
      </left>
      <right style="medium">
        <color indexed="10"/>
      </right>
      <top style="medium">
        <color indexed="10"/>
      </top>
      <bottom style="medium">
        <color indexed="10"/>
      </bottom>
      <diagonal/>
    </border>
    <border>
      <left style="medium">
        <color indexed="10"/>
      </left>
      <right/>
      <top style="medium">
        <color indexed="10"/>
      </top>
      <bottom style="thin">
        <color indexed="10"/>
      </bottom>
      <diagonal/>
    </border>
    <border>
      <left/>
      <right style="medium">
        <color indexed="10"/>
      </right>
      <top style="medium">
        <color indexed="10"/>
      </top>
      <bottom style="thin">
        <color indexed="10"/>
      </bottom>
      <diagonal/>
    </border>
    <border>
      <left style="medium">
        <color indexed="10"/>
      </left>
      <right style="thin">
        <color indexed="10"/>
      </right>
      <top style="medium">
        <color indexed="10"/>
      </top>
      <bottom style="thin">
        <color indexed="10"/>
      </bottom>
      <diagonal/>
    </border>
    <border>
      <left style="thin">
        <color indexed="10"/>
      </left>
      <right style="thin">
        <color indexed="10"/>
      </right>
      <top style="medium">
        <color indexed="10"/>
      </top>
      <bottom style="thin">
        <color indexed="10"/>
      </bottom>
      <diagonal/>
    </border>
    <border>
      <left style="medium">
        <color indexed="10"/>
      </left>
      <right/>
      <top style="thin">
        <color indexed="10"/>
      </top>
      <bottom style="thin">
        <color indexed="10"/>
      </bottom>
      <diagonal/>
    </border>
    <border>
      <left/>
      <right style="medium">
        <color indexed="10"/>
      </right>
      <top style="thin">
        <color indexed="10"/>
      </top>
      <bottom style="thin">
        <color indexed="10"/>
      </bottom>
      <diagonal/>
    </border>
    <border>
      <left style="medium">
        <color indexed="10"/>
      </left>
      <right style="thin">
        <color indexed="10"/>
      </right>
      <top style="thin">
        <color indexed="10"/>
      </top>
      <bottom style="thin">
        <color indexed="10"/>
      </bottom>
      <diagonal/>
    </border>
    <border>
      <left style="thin">
        <color indexed="10"/>
      </left>
      <right style="medium">
        <color indexed="10"/>
      </right>
      <top style="thin">
        <color indexed="10"/>
      </top>
      <bottom style="thin">
        <color indexed="10"/>
      </bottom>
      <diagonal/>
    </border>
    <border>
      <left style="medium">
        <color indexed="10"/>
      </left>
      <right/>
      <top style="thin">
        <color indexed="10"/>
      </top>
      <bottom style="medium">
        <color indexed="10"/>
      </bottom>
      <diagonal/>
    </border>
    <border>
      <left/>
      <right style="medium">
        <color indexed="10"/>
      </right>
      <top style="thin">
        <color indexed="10"/>
      </top>
      <bottom style="medium">
        <color indexed="10"/>
      </bottom>
      <diagonal/>
    </border>
    <border>
      <left style="medium">
        <color indexed="10"/>
      </left>
      <right style="thin">
        <color indexed="10"/>
      </right>
      <top style="thin">
        <color indexed="10"/>
      </top>
      <bottom style="medium">
        <color indexed="10"/>
      </bottom>
      <diagonal/>
    </border>
    <border>
      <left style="thin">
        <color indexed="10"/>
      </left>
      <right style="thin">
        <color indexed="10"/>
      </right>
      <top style="thin">
        <color indexed="10"/>
      </top>
      <bottom style="medium">
        <color indexed="10"/>
      </bottom>
      <diagonal/>
    </border>
    <border>
      <left style="thin">
        <color indexed="10"/>
      </left>
      <right style="medium">
        <color indexed="10"/>
      </right>
      <top style="thin">
        <color indexed="10"/>
      </top>
      <bottom style="medium">
        <color indexed="10"/>
      </bottom>
      <diagonal/>
    </border>
    <border>
      <left style="thin">
        <color indexed="15"/>
      </left>
      <right style="thin">
        <color indexed="15"/>
      </right>
      <top style="medium">
        <color indexed="10"/>
      </top>
      <bottom style="thin">
        <color indexed="10"/>
      </bottom>
      <diagonal/>
    </border>
    <border>
      <left style="thin">
        <color indexed="15"/>
      </left>
      <right style="thin">
        <color indexed="15"/>
      </right>
      <top style="thin">
        <color indexed="15"/>
      </top>
      <bottom style="medium">
        <color indexed="10"/>
      </bottom>
      <diagonal/>
    </border>
    <border>
      <left style="medium">
        <color indexed="10"/>
      </left>
      <right style="thin">
        <color indexed="15"/>
      </right>
      <top style="medium">
        <color indexed="10"/>
      </top>
      <bottom style="thin">
        <color indexed="15"/>
      </bottom>
      <diagonal/>
    </border>
    <border>
      <left style="thin">
        <color indexed="15"/>
      </left>
      <right style="medium">
        <color indexed="10"/>
      </right>
      <top style="medium">
        <color indexed="10"/>
      </top>
      <bottom style="thin">
        <color indexed="15"/>
      </bottom>
      <diagonal/>
    </border>
    <border>
      <left style="medium">
        <color indexed="10"/>
      </left>
      <right style="medium">
        <color indexed="10"/>
      </right>
      <top style="thin">
        <color indexed="15"/>
      </top>
      <bottom style="thin">
        <color indexed="15"/>
      </bottom>
      <diagonal/>
    </border>
    <border>
      <left style="medium">
        <color indexed="10"/>
      </left>
      <right style="medium">
        <color indexed="10"/>
      </right>
      <top style="medium">
        <color indexed="10"/>
      </top>
      <bottom style="thin">
        <color indexed="15"/>
      </bottom>
      <diagonal/>
    </border>
    <border>
      <left style="thin">
        <color indexed="15"/>
      </left>
      <right style="medium">
        <color indexed="10"/>
      </right>
      <top style="thin">
        <color indexed="15"/>
      </top>
      <bottom style="thin">
        <color indexed="15"/>
      </bottom>
      <diagonal/>
    </border>
    <border>
      <left style="medium">
        <color indexed="10"/>
      </left>
      <right style="thin">
        <color indexed="15"/>
      </right>
      <top style="thin">
        <color indexed="15"/>
      </top>
      <bottom style="medium">
        <color indexed="10"/>
      </bottom>
      <diagonal/>
    </border>
    <border>
      <left style="thin">
        <color indexed="15"/>
      </left>
      <right style="medium">
        <color indexed="10"/>
      </right>
      <top style="thin">
        <color indexed="15"/>
      </top>
      <bottom style="medium">
        <color indexed="10"/>
      </bottom>
      <diagonal/>
    </border>
    <border>
      <left style="medium">
        <color indexed="10"/>
      </left>
      <right style="medium">
        <color indexed="10"/>
      </right>
      <top style="thin">
        <color indexed="15"/>
      </top>
      <bottom style="medium">
        <color indexed="10"/>
      </bottom>
      <diagonal/>
    </border>
    <border>
      <left style="thin">
        <color indexed="15"/>
      </left>
      <right style="thin">
        <color indexed="15"/>
      </right>
      <top style="medium">
        <color indexed="10"/>
      </top>
      <bottom style="medium">
        <color indexed="10"/>
      </bottom>
      <diagonal/>
    </border>
    <border>
      <left style="thin">
        <color indexed="15"/>
      </left>
      <right style="thin">
        <color indexed="15"/>
      </right>
      <top style="medium">
        <color indexed="10"/>
      </top>
      <bottom style="thin">
        <color indexed="15"/>
      </bottom>
      <diagonal/>
    </border>
    <border>
      <left style="medium">
        <color indexed="10"/>
      </left>
      <right style="medium">
        <color indexed="10"/>
      </right>
      <top style="medium">
        <color indexed="10"/>
      </top>
      <bottom style="medium">
        <color indexed="10"/>
      </bottom>
      <diagonal/>
    </border>
    <border>
      <left style="medium">
        <color indexed="10"/>
      </left>
      <right style="medium">
        <color indexed="10"/>
      </right>
      <top style="medium">
        <color indexed="10"/>
      </top>
      <bottom/>
      <diagonal/>
    </border>
    <border>
      <left style="medium">
        <color indexed="10"/>
      </left>
      <right style="medium">
        <color indexed="10"/>
      </right>
      <top/>
      <bottom/>
      <diagonal/>
    </border>
    <border>
      <left style="medium">
        <color indexed="10"/>
      </left>
      <right style="medium">
        <color indexed="10"/>
      </right>
      <top/>
      <bottom style="thin">
        <color indexed="15"/>
      </bottom>
      <diagonal/>
    </border>
    <border>
      <left style="medium">
        <color indexed="10"/>
      </left>
      <right style="thin">
        <color indexed="15"/>
      </right>
      <top style="medium">
        <color indexed="10"/>
      </top>
      <bottom style="medium">
        <color indexed="10"/>
      </bottom>
      <diagonal/>
    </border>
    <border>
      <left style="thin">
        <color indexed="15"/>
      </left>
      <right style="medium">
        <color indexed="10"/>
      </right>
      <top style="medium">
        <color indexed="10"/>
      </top>
      <bottom style="medium">
        <color indexed="10"/>
      </bottom>
      <diagonal/>
    </border>
    <border>
      <left style="medium">
        <color indexed="10"/>
      </left>
      <right style="thin">
        <color indexed="15"/>
      </right>
      <top style="thin">
        <color indexed="15"/>
      </top>
      <bottom/>
      <diagonal/>
    </border>
    <border>
      <left style="thin">
        <color indexed="15"/>
      </left>
      <right style="medium">
        <color indexed="10"/>
      </right>
      <top style="thin">
        <color indexed="15"/>
      </top>
      <bottom/>
      <diagonal/>
    </border>
    <border>
      <left style="medium">
        <color indexed="10"/>
      </left>
      <right style="medium">
        <color indexed="10"/>
      </right>
      <top style="thin">
        <color indexed="15"/>
      </top>
      <bottom/>
      <diagonal/>
    </border>
    <border>
      <left style="medium">
        <color indexed="10"/>
      </left>
      <right/>
      <top/>
      <bottom style="medium">
        <color indexed="10"/>
      </bottom>
      <diagonal/>
    </border>
    <border>
      <left/>
      <right style="medium">
        <color indexed="10"/>
      </right>
      <top/>
      <bottom style="medium">
        <color indexed="10"/>
      </bottom>
      <diagonal/>
    </border>
    <border>
      <left style="medium">
        <color indexed="10"/>
      </left>
      <right style="medium">
        <color indexed="10"/>
      </right>
      <top/>
      <bottom style="medium">
        <color indexed="10"/>
      </bottom>
      <diagonal/>
    </border>
    <border>
      <left style="thin">
        <color indexed="15"/>
      </left>
      <right style="thin">
        <color indexed="15"/>
      </right>
      <top style="thin">
        <color indexed="15"/>
      </top>
      <bottom/>
      <diagonal/>
    </border>
    <border>
      <left style="thin">
        <color indexed="15"/>
      </left>
      <right/>
      <top style="thin">
        <color indexed="15"/>
      </top>
      <bottom style="thin">
        <color indexed="15"/>
      </bottom>
      <diagonal/>
    </border>
    <border>
      <left style="thin">
        <color indexed="15"/>
      </left>
      <right style="thin">
        <color indexed="15"/>
      </right>
      <top/>
      <bottom style="thin">
        <color indexed="15"/>
      </bottom>
      <diagonal/>
    </border>
    <border>
      <left style="thin">
        <color indexed="15"/>
      </left>
      <right style="medium">
        <color indexed="10"/>
      </right>
      <top style="thin">
        <color indexed="15"/>
      </top>
      <bottom style="thin">
        <color indexed="10"/>
      </bottom>
      <diagonal/>
    </border>
    <border>
      <left style="thin">
        <color indexed="15"/>
      </left>
      <right style="thin">
        <color indexed="10"/>
      </right>
      <top style="thin">
        <color indexed="15"/>
      </top>
      <bottom style="thin">
        <color indexed="15"/>
      </bottom>
      <diagonal/>
    </border>
    <border>
      <left style="medium">
        <color indexed="10"/>
      </left>
      <right style="medium">
        <color indexed="10"/>
      </right>
      <top style="medium">
        <color indexed="10"/>
      </top>
      <bottom style="thin">
        <color indexed="10"/>
      </bottom>
      <diagonal/>
    </border>
    <border>
      <left style="thin">
        <color indexed="15"/>
      </left>
      <right style="medium">
        <color indexed="10"/>
      </right>
      <top style="thin">
        <color indexed="10"/>
      </top>
      <bottom style="thin">
        <color indexed="15"/>
      </bottom>
      <diagonal/>
    </border>
    <border>
      <left style="medium">
        <color indexed="10"/>
      </left>
      <right style="medium">
        <color indexed="10"/>
      </right>
      <top style="thin">
        <color indexed="10"/>
      </top>
      <bottom style="thin">
        <color indexed="15"/>
      </bottom>
      <diagonal/>
    </border>
    <border>
      <left style="medium">
        <color indexed="10"/>
      </left>
      <right style="medium">
        <color indexed="10"/>
      </right>
      <top style="thin">
        <color indexed="15"/>
      </top>
      <bottom style="thin">
        <color indexed="10"/>
      </bottom>
      <diagonal/>
    </border>
    <border>
      <left style="medium">
        <color indexed="10"/>
      </left>
      <right style="medium">
        <color indexed="10"/>
      </right>
      <top style="thin">
        <color indexed="10"/>
      </top>
      <bottom style="thin">
        <color indexed="10"/>
      </bottom>
      <diagonal/>
    </border>
    <border>
      <left style="thin">
        <color indexed="15"/>
      </left>
      <right style="medium">
        <color indexed="10"/>
      </right>
      <top style="thin">
        <color indexed="10"/>
      </top>
      <bottom style="thin">
        <color indexed="10"/>
      </bottom>
      <diagonal/>
    </border>
    <border>
      <left style="thin">
        <color indexed="15"/>
      </left>
      <right style="medium">
        <color indexed="10"/>
      </right>
      <top style="thin">
        <color indexed="10"/>
      </top>
      <bottom/>
      <diagonal/>
    </border>
    <border>
      <left style="medium">
        <color indexed="10"/>
      </left>
      <right style="medium">
        <color indexed="10"/>
      </right>
      <top style="thin">
        <color indexed="10"/>
      </top>
      <bottom/>
      <diagonal/>
    </border>
    <border>
      <left/>
      <right style="medium">
        <color indexed="10"/>
      </right>
      <top/>
      <bottom style="thin">
        <color indexed="10"/>
      </bottom>
      <diagonal/>
    </border>
    <border>
      <left style="medium">
        <color indexed="10"/>
      </left>
      <right style="medium">
        <color indexed="10"/>
      </right>
      <top/>
      <bottom style="thin">
        <color indexed="10"/>
      </bottom>
      <diagonal/>
    </border>
    <border>
      <left style="medium">
        <color indexed="10"/>
      </left>
      <right style="medium">
        <color indexed="10"/>
      </right>
      <top style="thin">
        <color indexed="10"/>
      </top>
      <bottom style="medium">
        <color indexed="10"/>
      </bottom>
      <diagonal/>
    </border>
    <border>
      <left/>
      <right/>
      <top style="medium">
        <color indexed="10"/>
      </top>
      <bottom style="thin">
        <color indexed="10"/>
      </bottom>
      <diagonal/>
    </border>
    <border>
      <left style="medium">
        <color indexed="10"/>
      </left>
      <right style="thin">
        <color indexed="15"/>
      </right>
      <top style="thin">
        <color indexed="10"/>
      </top>
      <bottom style="thin">
        <color indexed="10"/>
      </bottom>
      <diagonal/>
    </border>
    <border>
      <left style="medium">
        <color indexed="10"/>
      </left>
      <right style="thin">
        <color indexed="15"/>
      </right>
      <top style="thin">
        <color indexed="10"/>
      </top>
      <bottom style="medium">
        <color indexed="10"/>
      </bottom>
      <diagonal/>
    </border>
    <border>
      <left style="thin">
        <color indexed="15"/>
      </left>
      <right style="thin">
        <color indexed="10"/>
      </right>
      <top style="thin">
        <color indexed="10"/>
      </top>
      <bottom style="medium">
        <color indexed="10"/>
      </bottom>
      <diagonal/>
    </border>
    <border>
      <left/>
      <right/>
      <top style="thin">
        <color indexed="10"/>
      </top>
      <bottom style="thin">
        <color indexed="10"/>
      </bottom>
      <diagonal/>
    </border>
    <border>
      <left/>
      <right style="thin">
        <color indexed="10"/>
      </right>
      <top style="medium">
        <color indexed="10"/>
      </top>
      <bottom style="medium">
        <color indexed="10"/>
      </bottom>
      <diagonal/>
    </border>
    <border>
      <left style="thin">
        <color indexed="10"/>
      </left>
      <right/>
      <top style="medium">
        <color indexed="10"/>
      </top>
      <bottom style="medium">
        <color indexed="10"/>
      </bottom>
      <diagonal/>
    </border>
    <border>
      <left style="thin">
        <color indexed="15"/>
      </left>
      <right style="thin">
        <color indexed="15"/>
      </right>
      <top style="thin">
        <color indexed="10"/>
      </top>
      <bottom style="medium">
        <color indexed="10"/>
      </bottom>
      <diagonal/>
    </border>
    <border>
      <left style="medium">
        <color indexed="10"/>
      </left>
      <right style="thin">
        <color indexed="15"/>
      </right>
      <top style="medium">
        <color indexed="10"/>
      </top>
      <bottom style="thin">
        <color indexed="10"/>
      </bottom>
      <diagonal/>
    </border>
    <border>
      <left style="thin">
        <color indexed="15"/>
      </left>
      <right style="medium">
        <color indexed="10"/>
      </right>
      <top style="medium">
        <color indexed="10"/>
      </top>
      <bottom style="thin">
        <color indexed="10"/>
      </bottom>
      <diagonal/>
    </border>
    <border>
      <left style="thin">
        <color indexed="10"/>
      </left>
      <right style="medium">
        <color indexed="10"/>
      </right>
      <top style="medium">
        <color indexed="10"/>
      </top>
      <bottom style="thin">
        <color indexed="10"/>
      </bottom>
      <diagonal/>
    </border>
    <border>
      <left style="thin">
        <color indexed="15"/>
      </left>
      <right style="medium">
        <color indexed="10"/>
      </right>
      <top style="thin">
        <color indexed="10"/>
      </top>
      <bottom style="medium">
        <color indexed="10"/>
      </bottom>
      <diagonal/>
    </border>
    <border>
      <left style="thin">
        <color indexed="15"/>
      </left>
      <right style="thin">
        <color indexed="15"/>
      </right>
      <top/>
      <bottom/>
      <diagonal/>
    </border>
    <border>
      <left style="thin">
        <color indexed="15"/>
      </left>
      <right/>
      <top/>
      <bottom/>
      <diagonal/>
    </border>
    <border>
      <left/>
      <right style="thin">
        <color indexed="15"/>
      </right>
      <top/>
      <bottom/>
      <diagonal/>
    </border>
    <border>
      <left style="thin">
        <color indexed="15"/>
      </left>
      <right/>
      <top style="thin">
        <color indexed="15"/>
      </top>
      <bottom/>
      <diagonal/>
    </border>
    <border>
      <left style="thin">
        <color indexed="15"/>
      </left>
      <right/>
      <top/>
      <bottom style="thin">
        <color indexed="15"/>
      </bottom>
      <diagonal/>
    </border>
    <border>
      <left/>
      <right style="thin">
        <color indexed="15"/>
      </right>
      <top/>
      <bottom style="thin">
        <color indexed="15"/>
      </bottom>
      <diagonal/>
    </border>
    <border>
      <left/>
      <right style="thin">
        <color indexed="15"/>
      </right>
      <top style="thin">
        <color indexed="15"/>
      </top>
      <bottom/>
      <diagonal/>
    </border>
    <border>
      <left/>
      <right/>
      <top style="thin">
        <color indexed="15"/>
      </top>
      <bottom style="thin">
        <color indexed="15"/>
      </bottom>
      <diagonal/>
    </border>
    <border>
      <left style="thin">
        <color indexed="15"/>
      </left>
      <right style="thin">
        <color indexed="10"/>
      </right>
      <top style="medium">
        <color indexed="10"/>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right/>
      <top style="medium">
        <color indexed="10"/>
      </top>
      <bottom/>
      <diagonal/>
    </border>
    <border>
      <left/>
      <right/>
      <top/>
      <bottom style="medium">
        <color indexed="10"/>
      </bottom>
      <diagonal/>
    </border>
    <border>
      <left style="thin">
        <color indexed="10"/>
      </left>
      <right style="medium">
        <color indexed="10"/>
      </right>
      <top style="thin">
        <color indexed="15"/>
      </top>
      <bottom style="thin">
        <color indexed="15"/>
      </bottom>
      <diagonal/>
    </border>
    <border>
      <left style="thin">
        <color indexed="15"/>
      </left>
      <right style="thin">
        <color indexed="15"/>
      </right>
      <top style="medium">
        <color indexed="10"/>
      </top>
      <bottom/>
      <diagonal/>
    </border>
    <border>
      <left style="medium">
        <color indexed="10"/>
      </left>
      <right/>
      <top style="thin">
        <color indexed="15"/>
      </top>
      <bottom style="thin">
        <color indexed="15"/>
      </bottom>
      <diagonal/>
    </border>
    <border>
      <left style="medium">
        <color indexed="10"/>
      </left>
      <right style="thin">
        <color indexed="10"/>
      </right>
      <top style="thin">
        <color indexed="10"/>
      </top>
      <bottom/>
      <diagonal/>
    </border>
    <border>
      <left style="thin">
        <color indexed="10"/>
      </left>
      <right style="thin">
        <color indexed="10"/>
      </right>
      <top style="thin">
        <color indexed="10"/>
      </top>
      <bottom/>
      <diagonal/>
    </border>
    <border>
      <left style="thin">
        <color indexed="10"/>
      </left>
      <right style="medium">
        <color indexed="10"/>
      </right>
      <top style="thin">
        <color indexed="10"/>
      </top>
      <bottom/>
      <diagonal/>
    </border>
    <border>
      <left style="thin">
        <color indexed="10"/>
      </left>
      <right style="thin">
        <color indexed="10"/>
      </right>
      <top/>
      <bottom/>
      <diagonal/>
    </border>
    <border>
      <left/>
      <right style="thin">
        <color indexed="10"/>
      </right>
      <top/>
      <bottom/>
      <diagonal/>
    </border>
    <border>
      <left style="thin">
        <color indexed="10"/>
      </left>
      <right style="thin">
        <color indexed="15"/>
      </right>
      <top/>
      <bottom style="thin">
        <color indexed="15"/>
      </bottom>
      <diagonal/>
    </border>
  </borders>
  <cellStyleXfs count="2">
    <xf numFmtId="0" fontId="0" fillId="0" borderId="0" applyNumberFormat="0" applyFill="0" applyBorder="0" applyProtection="0">
      <alignment vertical="top"/>
    </xf>
    <xf numFmtId="43" fontId="19" fillId="0" borderId="0" applyFont="0" applyFill="0" applyBorder="0" applyAlignment="0" applyProtection="0"/>
  </cellStyleXfs>
  <cellXfs count="666">
    <xf numFmtId="0" fontId="0" fillId="0" borderId="0" xfId="0" applyAlignment="1"/>
    <xf numFmtId="0" fontId="3" fillId="0" borderId="0" xfId="0" applyFont="1" applyAlignment="1"/>
    <xf numFmtId="0" fontId="2" fillId="2" borderId="0" xfId="0" applyFont="1" applyFill="1" applyAlignment="1"/>
    <xf numFmtId="0" fontId="2" fillId="3" borderId="0" xfId="0" applyFont="1" applyFill="1" applyAlignment="1"/>
    <xf numFmtId="0" fontId="4" fillId="3" borderId="0" xfId="0" applyFont="1" applyFill="1" applyAlignment="1"/>
    <xf numFmtId="0" fontId="5" fillId="0" borderId="0" xfId="0" applyNumberFormat="1" applyFont="1" applyAlignment="1"/>
    <xf numFmtId="0" fontId="6" fillId="4" borderId="1" xfId="0" applyNumberFormat="1" applyFont="1" applyFill="1" applyBorder="1" applyAlignment="1">
      <alignment wrapText="1"/>
    </xf>
    <xf numFmtId="0" fontId="5" fillId="5" borderId="2" xfId="0" applyNumberFormat="1" applyFont="1" applyFill="1" applyBorder="1" applyAlignment="1"/>
    <xf numFmtId="0" fontId="5" fillId="5" borderId="3" xfId="0" applyNumberFormat="1" applyFont="1" applyFill="1" applyBorder="1" applyAlignment="1"/>
    <xf numFmtId="0" fontId="5" fillId="5" borderId="4" xfId="0" applyNumberFormat="1" applyFont="1" applyFill="1" applyBorder="1" applyAlignment="1"/>
    <xf numFmtId="0" fontId="5" fillId="5" borderId="5" xfId="0" applyNumberFormat="1" applyFont="1" applyFill="1" applyBorder="1" applyAlignment="1"/>
    <xf numFmtId="0" fontId="5" fillId="5" borderId="6" xfId="0" applyNumberFormat="1" applyFont="1" applyFill="1" applyBorder="1" applyAlignment="1"/>
    <xf numFmtId="0" fontId="5" fillId="5" borderId="1" xfId="0" applyNumberFormat="1" applyFont="1" applyFill="1" applyBorder="1" applyAlignment="1"/>
    <xf numFmtId="0" fontId="5" fillId="5" borderId="7" xfId="0" applyNumberFormat="1" applyFont="1" applyFill="1" applyBorder="1" applyAlignment="1"/>
    <xf numFmtId="0" fontId="6" fillId="5" borderId="3" xfId="0" applyNumberFormat="1" applyFont="1" applyFill="1" applyBorder="1" applyAlignment="1">
      <alignment wrapText="1"/>
    </xf>
    <xf numFmtId="0" fontId="5" fillId="5" borderId="8" xfId="0" applyNumberFormat="1" applyFont="1" applyFill="1" applyBorder="1" applyAlignment="1"/>
    <xf numFmtId="0" fontId="6" fillId="4" borderId="9" xfId="0" applyNumberFormat="1" applyFont="1" applyFill="1" applyBorder="1" applyAlignment="1">
      <alignment horizontal="left"/>
    </xf>
    <xf numFmtId="0" fontId="5" fillId="4" borderId="10" xfId="0" applyNumberFormat="1" applyFont="1" applyFill="1" applyBorder="1" applyAlignment="1"/>
    <xf numFmtId="9" fontId="5" fillId="5" borderId="1" xfId="0" applyNumberFormat="1" applyFont="1" applyFill="1" applyBorder="1" applyAlignment="1"/>
    <xf numFmtId="164" fontId="5" fillId="5" borderId="1" xfId="0" applyNumberFormat="1" applyFont="1" applyFill="1" applyBorder="1" applyAlignment="1"/>
    <xf numFmtId="0" fontId="5" fillId="5" borderId="11" xfId="0" applyNumberFormat="1" applyFont="1" applyFill="1" applyBorder="1" applyAlignment="1"/>
    <xf numFmtId="164" fontId="5" fillId="5" borderId="6" xfId="0" applyNumberFormat="1" applyFont="1" applyFill="1" applyBorder="1" applyAlignment="1"/>
    <xf numFmtId="0" fontId="5" fillId="5" borderId="13" xfId="0" applyNumberFormat="1" applyFont="1" applyFill="1" applyBorder="1" applyAlignment="1"/>
    <xf numFmtId="0" fontId="5" fillId="6" borderId="0" xfId="0" applyNumberFormat="1" applyFont="1" applyFill="1" applyBorder="1" applyAlignment="1"/>
    <xf numFmtId="164" fontId="5" fillId="6" borderId="0" xfId="0" applyNumberFormat="1" applyFont="1" applyFill="1" applyBorder="1" applyAlignment="1"/>
    <xf numFmtId="0" fontId="6" fillId="5" borderId="14" xfId="0" applyNumberFormat="1" applyFont="1" applyFill="1" applyBorder="1" applyAlignment="1"/>
    <xf numFmtId="0" fontId="5" fillId="5" borderId="14" xfId="0" applyNumberFormat="1" applyFont="1" applyFill="1" applyBorder="1" applyAlignment="1"/>
    <xf numFmtId="165" fontId="5" fillId="5" borderId="14" xfId="0" applyNumberFormat="1" applyFont="1" applyFill="1" applyBorder="1" applyAlignment="1"/>
    <xf numFmtId="0" fontId="5" fillId="5" borderId="18" xfId="0" applyNumberFormat="1" applyFont="1" applyFill="1" applyBorder="1" applyAlignment="1"/>
    <xf numFmtId="0" fontId="5" fillId="4" borderId="15" xfId="0" applyNumberFormat="1" applyFont="1" applyFill="1" applyBorder="1" applyAlignment="1">
      <alignment wrapText="1"/>
    </xf>
    <xf numFmtId="0" fontId="5" fillId="4" borderId="17" xfId="0" applyNumberFormat="1" applyFont="1" applyFill="1" applyBorder="1" applyAlignment="1"/>
    <xf numFmtId="0" fontId="6" fillId="4" borderId="19" xfId="0" applyNumberFormat="1" applyFont="1" applyFill="1" applyBorder="1" applyAlignment="1">
      <alignment horizontal="center"/>
    </xf>
    <xf numFmtId="0" fontId="6" fillId="4" borderId="20" xfId="0" applyNumberFormat="1" applyFont="1" applyFill="1" applyBorder="1" applyAlignment="1">
      <alignment horizontal="center" wrapText="1"/>
    </xf>
    <xf numFmtId="0" fontId="6" fillId="4" borderId="21" xfId="0" applyNumberFormat="1" applyFont="1" applyFill="1" applyBorder="1" applyAlignment="1">
      <alignment horizontal="center" wrapText="1"/>
    </xf>
    <xf numFmtId="0" fontId="6" fillId="4" borderId="22" xfId="0" applyNumberFormat="1" applyFont="1" applyFill="1" applyBorder="1" applyAlignment="1">
      <alignment horizontal="left"/>
    </xf>
    <xf numFmtId="0" fontId="5" fillId="4" borderId="23" xfId="0" applyNumberFormat="1" applyFont="1" applyFill="1" applyBorder="1" applyAlignment="1"/>
    <xf numFmtId="0" fontId="5" fillId="5" borderId="24" xfId="0" applyNumberFormat="1" applyFont="1" applyFill="1" applyBorder="1" applyAlignment="1"/>
    <xf numFmtId="0" fontId="5" fillId="5" borderId="25" xfId="0" applyNumberFormat="1" applyFont="1" applyFill="1" applyBorder="1" applyAlignment="1"/>
    <xf numFmtId="0" fontId="6" fillId="4" borderId="26" xfId="0" applyNumberFormat="1" applyFont="1" applyFill="1" applyBorder="1" applyAlignment="1">
      <alignment horizontal="left"/>
    </xf>
    <xf numFmtId="0" fontId="5" fillId="4" borderId="27" xfId="0" applyNumberFormat="1" applyFont="1" applyFill="1" applyBorder="1" applyAlignment="1"/>
    <xf numFmtId="0" fontId="5" fillId="5" borderId="28" xfId="0" applyNumberFormat="1" applyFont="1" applyFill="1" applyBorder="1" applyAlignment="1"/>
    <xf numFmtId="0" fontId="5" fillId="5" borderId="29" xfId="0" applyNumberFormat="1" applyFont="1" applyFill="1" applyBorder="1" applyAlignment="1"/>
    <xf numFmtId="16" fontId="6" fillId="4" borderId="26" xfId="0" applyNumberFormat="1" applyFont="1" applyFill="1" applyBorder="1" applyAlignment="1">
      <alignment horizontal="left"/>
    </xf>
    <xf numFmtId="16" fontId="6" fillId="4" borderId="30" xfId="0" applyNumberFormat="1" applyFont="1" applyFill="1" applyBorder="1" applyAlignment="1">
      <alignment horizontal="left"/>
    </xf>
    <xf numFmtId="0" fontId="5" fillId="4" borderId="31" xfId="0" applyNumberFormat="1" applyFont="1" applyFill="1" applyBorder="1" applyAlignment="1"/>
    <xf numFmtId="0" fontId="5" fillId="5" borderId="32" xfId="0" applyNumberFormat="1" applyFont="1" applyFill="1" applyBorder="1" applyAlignment="1"/>
    <xf numFmtId="0" fontId="5" fillId="5" borderId="33" xfId="0" applyNumberFormat="1" applyFont="1" applyFill="1" applyBorder="1" applyAlignment="1"/>
    <xf numFmtId="0" fontId="5" fillId="5" borderId="34" xfId="0" applyNumberFormat="1" applyFont="1" applyFill="1" applyBorder="1" applyAlignment="1"/>
    <xf numFmtId="0" fontId="6" fillId="4" borderId="15" xfId="0" applyNumberFormat="1" applyFont="1" applyFill="1" applyBorder="1" applyAlignment="1"/>
    <xf numFmtId="0" fontId="6" fillId="4" borderId="19" xfId="0" applyNumberFormat="1" applyFont="1" applyFill="1" applyBorder="1" applyAlignment="1"/>
    <xf numFmtId="0" fontId="6" fillId="4" borderId="20" xfId="0" applyNumberFormat="1" applyFont="1" applyFill="1" applyBorder="1" applyAlignment="1"/>
    <xf numFmtId="0" fontId="6" fillId="4" borderId="21" xfId="0" applyNumberFormat="1" applyFont="1" applyFill="1" applyBorder="1" applyAlignment="1"/>
    <xf numFmtId="16" fontId="6" fillId="4" borderId="22" xfId="0" applyNumberFormat="1" applyFont="1" applyFill="1" applyBorder="1" applyAlignment="1">
      <alignment horizontal="left"/>
    </xf>
    <xf numFmtId="9" fontId="5" fillId="5" borderId="28" xfId="0" applyNumberFormat="1" applyFont="1" applyFill="1" applyBorder="1" applyAlignment="1"/>
    <xf numFmtId="165" fontId="5" fillId="5" borderId="1" xfId="0" applyNumberFormat="1" applyFont="1" applyFill="1" applyBorder="1" applyAlignment="1"/>
    <xf numFmtId="165" fontId="5" fillId="5" borderId="28" xfId="0" applyNumberFormat="1" applyFont="1" applyFill="1" applyBorder="1" applyAlignment="1"/>
    <xf numFmtId="0" fontId="6" fillId="4" borderId="30" xfId="0" applyNumberFormat="1" applyFont="1" applyFill="1" applyBorder="1" applyAlignment="1">
      <alignment horizontal="left"/>
    </xf>
    <xf numFmtId="165" fontId="5" fillId="5" borderId="32" xfId="0" applyNumberFormat="1" applyFont="1" applyFill="1" applyBorder="1" applyAlignment="1"/>
    <xf numFmtId="165" fontId="5" fillId="5" borderId="33" xfId="0" applyNumberFormat="1" applyFont="1" applyFill="1" applyBorder="1" applyAlignment="1"/>
    <xf numFmtId="0" fontId="6" fillId="5" borderId="35" xfId="0" applyNumberFormat="1" applyFont="1" applyFill="1" applyBorder="1" applyAlignment="1">
      <alignment wrapText="1"/>
    </xf>
    <xf numFmtId="0" fontId="5" fillId="5" borderId="35" xfId="0" applyNumberFormat="1" applyFont="1" applyFill="1" applyBorder="1" applyAlignment="1"/>
    <xf numFmtId="166" fontId="5" fillId="5" borderId="5" xfId="0" applyNumberFormat="1" applyFont="1" applyFill="1" applyBorder="1" applyAlignment="1"/>
    <xf numFmtId="9" fontId="5" fillId="5" borderId="1" xfId="0" applyNumberFormat="1" applyFont="1" applyFill="1" applyBorder="1" applyAlignment="1">
      <alignment horizontal="right"/>
    </xf>
    <xf numFmtId="166" fontId="5" fillId="5" borderId="6" xfId="0" applyNumberFormat="1" applyFont="1" applyFill="1" applyBorder="1" applyAlignment="1"/>
    <xf numFmtId="165" fontId="5" fillId="5" borderId="5" xfId="0" applyNumberFormat="1" applyFont="1" applyFill="1" applyBorder="1" applyAlignment="1"/>
    <xf numFmtId="2" fontId="5" fillId="5" borderId="5" xfId="0" applyNumberFormat="1" applyFont="1" applyFill="1" applyBorder="1" applyAlignment="1">
      <alignment horizontal="center" vertical="center"/>
    </xf>
    <xf numFmtId="0" fontId="6" fillId="5" borderId="7" xfId="0" applyNumberFormat="1" applyFont="1" applyFill="1" applyBorder="1" applyAlignment="1"/>
    <xf numFmtId="165" fontId="5" fillId="5" borderId="7" xfId="0" applyNumberFormat="1" applyFont="1" applyFill="1" applyBorder="1" applyAlignment="1"/>
    <xf numFmtId="0" fontId="5" fillId="5" borderId="5" xfId="0" applyNumberFormat="1" applyFont="1" applyFill="1" applyBorder="1" applyAlignment="1">
      <alignment wrapText="1"/>
    </xf>
    <xf numFmtId="0" fontId="8" fillId="5" borderId="5" xfId="0" applyNumberFormat="1" applyFont="1" applyFill="1" applyBorder="1" applyAlignment="1">
      <alignment horizontal="center"/>
    </xf>
    <xf numFmtId="0" fontId="5" fillId="5" borderId="5" xfId="0" applyNumberFormat="1" applyFont="1" applyFill="1" applyBorder="1" applyAlignment="1">
      <alignment horizontal="center"/>
    </xf>
    <xf numFmtId="0" fontId="6" fillId="5" borderId="5" xfId="0" applyNumberFormat="1" applyFont="1" applyFill="1" applyBorder="1" applyAlignment="1">
      <alignment horizontal="center"/>
    </xf>
    <xf numFmtId="166" fontId="5" fillId="5" borderId="5" xfId="0" applyNumberFormat="1" applyFont="1" applyFill="1" applyBorder="1" applyAlignment="1">
      <alignment horizontal="center"/>
    </xf>
    <xf numFmtId="49" fontId="5" fillId="5" borderId="5" xfId="0" applyNumberFormat="1" applyFont="1" applyFill="1" applyBorder="1" applyAlignment="1">
      <alignment wrapText="1"/>
    </xf>
    <xf numFmtId="49" fontId="5" fillId="5" borderId="5" xfId="0" applyNumberFormat="1" applyFont="1" applyFill="1" applyBorder="1" applyAlignment="1"/>
    <xf numFmtId="165" fontId="9" fillId="5" borderId="5" xfId="0" applyNumberFormat="1" applyFont="1" applyFill="1" applyBorder="1" applyAlignment="1"/>
    <xf numFmtId="0" fontId="5" fillId="5" borderId="5" xfId="0" applyNumberFormat="1" applyFont="1" applyFill="1" applyBorder="1" applyAlignment="1">
      <alignment horizontal="left"/>
    </xf>
    <xf numFmtId="0" fontId="5" fillId="5" borderId="36" xfId="0" applyNumberFormat="1" applyFont="1" applyFill="1" applyBorder="1" applyAlignment="1"/>
    <xf numFmtId="0" fontId="5" fillId="5" borderId="36" xfId="0" applyNumberFormat="1" applyFont="1" applyFill="1" applyBorder="1" applyAlignment="1">
      <alignment horizontal="left"/>
    </xf>
    <xf numFmtId="0" fontId="10" fillId="5" borderId="37" xfId="0" applyNumberFormat="1" applyFont="1" applyFill="1" applyBorder="1" applyAlignment="1">
      <alignment horizontal="left" vertical="center"/>
    </xf>
    <xf numFmtId="165" fontId="5" fillId="5" borderId="38" xfId="0" applyNumberFormat="1" applyFont="1" applyFill="1" applyBorder="1" applyAlignment="1"/>
    <xf numFmtId="0" fontId="5" fillId="5" borderId="39" xfId="0" applyNumberFormat="1" applyFont="1" applyFill="1" applyBorder="1" applyAlignment="1"/>
    <xf numFmtId="165" fontId="5" fillId="5" borderId="40" xfId="0" applyNumberFormat="1" applyFont="1" applyFill="1" applyBorder="1" applyAlignment="1"/>
    <xf numFmtId="0" fontId="5" fillId="5" borderId="18" xfId="0" applyNumberFormat="1" applyFont="1" applyFill="1" applyBorder="1" applyAlignment="1">
      <alignment horizontal="left"/>
    </xf>
    <xf numFmtId="0" fontId="10" fillId="5" borderId="18" xfId="0" applyNumberFormat="1" applyFont="1" applyFill="1" applyBorder="1" applyAlignment="1">
      <alignment horizontal="left" vertical="center"/>
    </xf>
    <xf numFmtId="165" fontId="9" fillId="5" borderId="41" xfId="0" applyNumberFormat="1" applyFont="1" applyFill="1" applyBorder="1" applyAlignment="1"/>
    <xf numFmtId="165" fontId="9" fillId="5" borderId="39" xfId="0" applyNumberFormat="1" applyFont="1" applyFill="1" applyBorder="1" applyAlignment="1"/>
    <xf numFmtId="0" fontId="10" fillId="5" borderId="42" xfId="0" applyNumberFormat="1" applyFont="1" applyFill="1" applyBorder="1" applyAlignment="1">
      <alignment horizontal="left" vertical="center"/>
    </xf>
    <xf numFmtId="165" fontId="9" fillId="5" borderId="43" xfId="0" applyNumberFormat="1" applyFont="1" applyFill="1" applyBorder="1" applyAlignment="1"/>
    <xf numFmtId="165" fontId="9" fillId="5" borderId="44" xfId="0" applyNumberFormat="1" applyFont="1" applyFill="1" applyBorder="1" applyAlignment="1"/>
    <xf numFmtId="0" fontId="5" fillId="5" borderId="45" xfId="0" applyNumberFormat="1" applyFont="1" applyFill="1" applyBorder="1" applyAlignment="1"/>
    <xf numFmtId="0" fontId="5" fillId="5" borderId="46" xfId="0" applyNumberFormat="1" applyFont="1" applyFill="1" applyBorder="1" applyAlignment="1">
      <alignment horizontal="left"/>
    </xf>
    <xf numFmtId="0" fontId="5" fillId="5" borderId="46" xfId="0" applyNumberFormat="1" applyFont="1" applyFill="1" applyBorder="1" applyAlignment="1"/>
    <xf numFmtId="0" fontId="5" fillId="5" borderId="42" xfId="0" applyNumberFormat="1" applyFont="1" applyFill="1" applyBorder="1" applyAlignment="1">
      <alignment horizontal="left"/>
    </xf>
    <xf numFmtId="0" fontId="5" fillId="5" borderId="37" xfId="0" applyNumberFormat="1" applyFont="1" applyFill="1" applyBorder="1" applyAlignment="1"/>
    <xf numFmtId="0" fontId="6" fillId="5" borderId="46" xfId="0" applyNumberFormat="1" applyFont="1" applyFill="1" applyBorder="1" applyAlignment="1"/>
    <xf numFmtId="0" fontId="6" fillId="5" borderId="38" xfId="0" applyNumberFormat="1" applyFont="1" applyFill="1" applyBorder="1" applyAlignment="1"/>
    <xf numFmtId="0" fontId="6" fillId="5" borderId="47" xfId="0" applyNumberFormat="1" applyFont="1" applyFill="1" applyBorder="1" applyAlignment="1"/>
    <xf numFmtId="164" fontId="5" fillId="5" borderId="5" xfId="0" applyNumberFormat="1" applyFont="1" applyFill="1" applyBorder="1" applyAlignment="1"/>
    <xf numFmtId="0" fontId="5" fillId="5" borderId="41" xfId="0" applyNumberFormat="1" applyFont="1" applyFill="1" applyBorder="1" applyAlignment="1"/>
    <xf numFmtId="164" fontId="5" fillId="8" borderId="48" xfId="0" applyNumberFormat="1" applyFont="1" applyFill="1" applyBorder="1" applyAlignment="1"/>
    <xf numFmtId="164" fontId="5" fillId="8" borderId="49" xfId="0" applyNumberFormat="1" applyFont="1" applyFill="1" applyBorder="1" applyAlignment="1"/>
    <xf numFmtId="164" fontId="5" fillId="5" borderId="50" xfId="0" applyNumberFormat="1" applyFont="1" applyFill="1" applyBorder="1" applyAlignment="1"/>
    <xf numFmtId="164" fontId="5" fillId="5" borderId="39" xfId="0" applyNumberFormat="1" applyFont="1" applyFill="1" applyBorder="1" applyAlignment="1"/>
    <xf numFmtId="164" fontId="5" fillId="5" borderId="36" xfId="0" applyNumberFormat="1" applyFont="1" applyFill="1" applyBorder="1" applyAlignment="1"/>
    <xf numFmtId="0" fontId="5" fillId="5" borderId="43" xfId="0" applyNumberFormat="1" applyFont="1" applyFill="1" applyBorder="1" applyAlignment="1"/>
    <xf numFmtId="164" fontId="5" fillId="5" borderId="44" xfId="0" applyNumberFormat="1" applyFont="1" applyFill="1" applyBorder="1" applyAlignment="1"/>
    <xf numFmtId="164" fontId="5" fillId="5" borderId="46" xfId="0" applyNumberFormat="1" applyFont="1" applyFill="1" applyBorder="1" applyAlignment="1"/>
    <xf numFmtId="0" fontId="5" fillId="5" borderId="37" xfId="0" applyNumberFormat="1" applyFont="1" applyFill="1" applyBorder="1" applyAlignment="1">
      <alignment horizontal="left"/>
    </xf>
    <xf numFmtId="0" fontId="5" fillId="5" borderId="38" xfId="0" applyNumberFormat="1" applyFont="1" applyFill="1" applyBorder="1" applyAlignment="1">
      <alignment horizontal="left"/>
    </xf>
    <xf numFmtId="0" fontId="5" fillId="5" borderId="40" xfId="0" applyNumberFormat="1" applyFont="1" applyFill="1" applyBorder="1" applyAlignment="1"/>
    <xf numFmtId="0" fontId="5" fillId="5" borderId="40" xfId="0" applyNumberFormat="1" applyFont="1" applyFill="1" applyBorder="1" applyAlignment="1">
      <alignment horizontal="left"/>
    </xf>
    <xf numFmtId="0" fontId="5" fillId="5" borderId="41" xfId="0" applyNumberFormat="1" applyFont="1" applyFill="1" applyBorder="1" applyAlignment="1">
      <alignment horizontal="left"/>
    </xf>
    <xf numFmtId="0" fontId="5" fillId="5" borderId="39" xfId="0" applyNumberFormat="1" applyFont="1" applyFill="1" applyBorder="1" applyAlignment="1">
      <alignment horizontal="left"/>
    </xf>
    <xf numFmtId="0" fontId="9" fillId="5" borderId="5" xfId="0" applyNumberFormat="1" applyFont="1" applyFill="1" applyBorder="1" applyAlignment="1">
      <alignment horizontal="left"/>
    </xf>
    <xf numFmtId="165" fontId="9" fillId="5" borderId="41" xfId="0" applyNumberFormat="1" applyFont="1" applyFill="1" applyBorder="1" applyAlignment="1">
      <alignment horizontal="left"/>
    </xf>
    <xf numFmtId="166" fontId="10" fillId="5" borderId="5" xfId="0" applyNumberFormat="1" applyFont="1" applyFill="1" applyBorder="1" applyAlignment="1">
      <alignment horizontal="left"/>
    </xf>
    <xf numFmtId="165" fontId="9" fillId="5" borderId="39" xfId="0" applyNumberFormat="1" applyFont="1" applyFill="1" applyBorder="1" applyAlignment="1">
      <alignment horizontal="left"/>
    </xf>
    <xf numFmtId="166" fontId="9" fillId="5" borderId="5" xfId="0" applyNumberFormat="1" applyFont="1" applyFill="1" applyBorder="1" applyAlignment="1">
      <alignment horizontal="left"/>
    </xf>
    <xf numFmtId="166" fontId="10" fillId="5" borderId="18" xfId="0" applyNumberFormat="1" applyFont="1" applyFill="1" applyBorder="1" applyAlignment="1">
      <alignment horizontal="left" vertical="center"/>
    </xf>
    <xf numFmtId="166" fontId="10" fillId="5" borderId="42" xfId="0" applyNumberFormat="1" applyFont="1" applyFill="1" applyBorder="1" applyAlignment="1">
      <alignment horizontal="left" vertical="center"/>
    </xf>
    <xf numFmtId="0" fontId="9" fillId="5" borderId="36" xfId="0" applyNumberFormat="1" applyFont="1" applyFill="1" applyBorder="1" applyAlignment="1">
      <alignment horizontal="left"/>
    </xf>
    <xf numFmtId="165" fontId="9" fillId="5" borderId="43" xfId="0" applyNumberFormat="1" applyFont="1" applyFill="1" applyBorder="1" applyAlignment="1">
      <alignment horizontal="left"/>
    </xf>
    <xf numFmtId="165" fontId="9" fillId="5" borderId="44" xfId="0" applyNumberFormat="1" applyFont="1" applyFill="1" applyBorder="1" applyAlignment="1">
      <alignment horizontal="left"/>
    </xf>
    <xf numFmtId="166" fontId="10" fillId="5" borderId="51" xfId="0" applyNumberFormat="1" applyFont="1" applyFill="1" applyBorder="1" applyAlignment="1">
      <alignment horizontal="left" vertical="center"/>
    </xf>
    <xf numFmtId="0" fontId="9" fillId="5" borderId="45" xfId="0" applyNumberFormat="1" applyFont="1" applyFill="1" applyBorder="1" applyAlignment="1">
      <alignment horizontal="left"/>
    </xf>
    <xf numFmtId="165" fontId="9" fillId="5" borderId="52" xfId="0" applyNumberFormat="1" applyFont="1" applyFill="1" applyBorder="1" applyAlignment="1">
      <alignment horizontal="left"/>
    </xf>
    <xf numFmtId="165" fontId="9" fillId="8" borderId="47" xfId="0" applyNumberFormat="1" applyFont="1" applyFill="1" applyBorder="1" applyAlignment="1">
      <alignment horizontal="left"/>
    </xf>
    <xf numFmtId="165" fontId="9" fillId="5" borderId="47" xfId="0" applyNumberFormat="1" applyFont="1" applyFill="1" applyBorder="1" applyAlignment="1">
      <alignment horizontal="left"/>
    </xf>
    <xf numFmtId="165" fontId="5" fillId="5" borderId="5" xfId="0" applyNumberFormat="1" applyFont="1" applyFill="1" applyBorder="1" applyAlignment="1">
      <alignment horizontal="left"/>
    </xf>
    <xf numFmtId="165" fontId="5" fillId="5" borderId="36" xfId="0" applyNumberFormat="1" applyFont="1" applyFill="1" applyBorder="1" applyAlignment="1">
      <alignment horizontal="left"/>
    </xf>
    <xf numFmtId="0" fontId="5" fillId="5" borderId="43" xfId="0" applyNumberFormat="1" applyFont="1" applyFill="1" applyBorder="1" applyAlignment="1">
      <alignment horizontal="left"/>
    </xf>
    <xf numFmtId="0" fontId="5" fillId="5" borderId="45" xfId="0" applyNumberFormat="1" applyFont="1" applyFill="1" applyBorder="1" applyAlignment="1">
      <alignment horizontal="left"/>
    </xf>
    <xf numFmtId="0" fontId="5" fillId="8" borderId="17" xfId="0" applyNumberFormat="1" applyFont="1" applyFill="1" applyBorder="1" applyAlignment="1"/>
    <xf numFmtId="165" fontId="9" fillId="5" borderId="38" xfId="0" applyNumberFormat="1" applyFont="1" applyFill="1" applyBorder="1" applyAlignment="1"/>
    <xf numFmtId="10" fontId="9" fillId="5" borderId="41" xfId="0" applyNumberFormat="1" applyFont="1" applyFill="1" applyBorder="1" applyAlignment="1"/>
    <xf numFmtId="10" fontId="9" fillId="5" borderId="39" xfId="0" applyNumberFormat="1" applyFont="1" applyFill="1" applyBorder="1" applyAlignment="1"/>
    <xf numFmtId="0" fontId="9" fillId="5" borderId="41" xfId="0" applyNumberFormat="1" applyFont="1" applyFill="1" applyBorder="1" applyAlignment="1"/>
    <xf numFmtId="0" fontId="9" fillId="5" borderId="39" xfId="0" applyNumberFormat="1" applyFont="1" applyFill="1" applyBorder="1" applyAlignment="1"/>
    <xf numFmtId="0" fontId="10" fillId="5" borderId="18" xfId="0" applyNumberFormat="1" applyFont="1" applyFill="1" applyBorder="1" applyAlignment="1">
      <alignment horizontal="left"/>
    </xf>
    <xf numFmtId="166" fontId="5" fillId="5" borderId="41" xfId="0" applyNumberFormat="1" applyFont="1" applyFill="1" applyBorder="1" applyAlignment="1"/>
    <xf numFmtId="166" fontId="5" fillId="5" borderId="39" xfId="0" applyNumberFormat="1" applyFont="1" applyFill="1" applyBorder="1" applyAlignment="1"/>
    <xf numFmtId="2" fontId="5" fillId="5" borderId="41" xfId="0" applyNumberFormat="1" applyFont="1" applyFill="1" applyBorder="1" applyAlignment="1">
      <alignment horizontal="center" vertical="center"/>
    </xf>
    <xf numFmtId="2" fontId="5" fillId="5" borderId="39" xfId="0" applyNumberFormat="1" applyFont="1" applyFill="1" applyBorder="1" applyAlignment="1">
      <alignment horizontal="center" vertical="center"/>
    </xf>
    <xf numFmtId="2" fontId="5" fillId="5" borderId="41" xfId="0" applyNumberFormat="1" applyFont="1" applyFill="1" applyBorder="1" applyAlignment="1"/>
    <xf numFmtId="2" fontId="5" fillId="5" borderId="39" xfId="0" applyNumberFormat="1" applyFont="1" applyFill="1" applyBorder="1" applyAlignment="1"/>
    <xf numFmtId="165" fontId="10" fillId="5" borderId="18" xfId="0" applyNumberFormat="1" applyFont="1" applyFill="1" applyBorder="1" applyAlignment="1">
      <alignment horizontal="left" vertical="center"/>
    </xf>
    <xf numFmtId="166" fontId="10" fillId="5" borderId="18" xfId="0" applyNumberFormat="1" applyFont="1" applyFill="1" applyBorder="1" applyAlignment="1">
      <alignment horizontal="left" vertical="center" wrapText="1"/>
    </xf>
    <xf numFmtId="166" fontId="10" fillId="5" borderId="53" xfId="0" applyNumberFormat="1" applyFont="1" applyFill="1" applyBorder="1" applyAlignment="1">
      <alignment horizontal="left" vertical="center"/>
    </xf>
    <xf numFmtId="165" fontId="9" fillId="5" borderId="54" xfId="0" applyNumberFormat="1" applyFont="1" applyFill="1" applyBorder="1" applyAlignment="1"/>
    <xf numFmtId="165" fontId="9" fillId="5" borderId="55" xfId="0" applyNumberFormat="1" applyFont="1" applyFill="1" applyBorder="1" applyAlignment="1"/>
    <xf numFmtId="166" fontId="10" fillId="7" borderId="56" xfId="0" applyNumberFormat="1" applyFont="1" applyFill="1" applyBorder="1" applyAlignment="1">
      <alignment horizontal="left" vertical="center"/>
    </xf>
    <xf numFmtId="165" fontId="9" fillId="7" borderId="57" xfId="0" applyNumberFormat="1" applyFont="1" applyFill="1" applyBorder="1" applyAlignment="1"/>
    <xf numFmtId="165" fontId="9" fillId="7" borderId="58" xfId="0" applyNumberFormat="1" applyFont="1" applyFill="1" applyBorder="1" applyAlignment="1"/>
    <xf numFmtId="166" fontId="10" fillId="7" borderId="15" xfId="0" applyNumberFormat="1" applyFont="1" applyFill="1" applyBorder="1" applyAlignment="1">
      <alignment horizontal="left" vertical="center"/>
    </xf>
    <xf numFmtId="165" fontId="10" fillId="7" borderId="17" xfId="0" applyNumberFormat="1" applyFont="1" applyFill="1" applyBorder="1" applyAlignment="1"/>
    <xf numFmtId="0" fontId="5" fillId="5" borderId="44" xfId="0" applyNumberFormat="1" applyFont="1" applyFill="1" applyBorder="1" applyAlignment="1"/>
    <xf numFmtId="165" fontId="10" fillId="8" borderId="47" xfId="0" applyNumberFormat="1" applyFont="1" applyFill="1" applyBorder="1" applyAlignment="1"/>
    <xf numFmtId="165" fontId="10" fillId="7" borderId="47" xfId="0" applyNumberFormat="1" applyFont="1" applyFill="1" applyBorder="1" applyAlignment="1"/>
    <xf numFmtId="0" fontId="5" fillId="5" borderId="38" xfId="0" applyNumberFormat="1" applyFont="1" applyFill="1" applyBorder="1" applyAlignment="1"/>
    <xf numFmtId="165" fontId="5" fillId="5" borderId="41" xfId="0" applyNumberFormat="1" applyFont="1" applyFill="1" applyBorder="1" applyAlignment="1">
      <alignment horizontal="left"/>
    </xf>
    <xf numFmtId="165" fontId="5" fillId="5" borderId="43" xfId="0" applyNumberFormat="1" applyFont="1" applyFill="1" applyBorder="1" applyAlignment="1">
      <alignment horizontal="left"/>
    </xf>
    <xf numFmtId="10" fontId="9" fillId="5" borderId="41" xfId="0" applyNumberFormat="1" applyFont="1" applyFill="1" applyBorder="1" applyAlignment="1">
      <alignment horizontal="left"/>
    </xf>
    <xf numFmtId="9" fontId="9" fillId="5" borderId="39" xfId="0" applyNumberFormat="1" applyFont="1" applyFill="1" applyBorder="1" applyAlignment="1">
      <alignment horizontal="left"/>
    </xf>
    <xf numFmtId="0" fontId="9" fillId="5" borderId="41" xfId="0" applyNumberFormat="1" applyFont="1" applyFill="1" applyBorder="1" applyAlignment="1">
      <alignment horizontal="left"/>
    </xf>
    <xf numFmtId="0" fontId="9" fillId="5" borderId="39" xfId="0" applyNumberFormat="1" applyFont="1" applyFill="1" applyBorder="1" applyAlignment="1">
      <alignment horizontal="left"/>
    </xf>
    <xf numFmtId="0" fontId="9" fillId="5" borderId="18" xfId="0" applyNumberFormat="1" applyFont="1" applyFill="1" applyBorder="1" applyAlignment="1">
      <alignment horizontal="left"/>
    </xf>
    <xf numFmtId="165" fontId="10" fillId="5" borderId="52" xfId="0" applyNumberFormat="1" applyFont="1" applyFill="1" applyBorder="1" applyAlignment="1">
      <alignment horizontal="left"/>
    </xf>
    <xf numFmtId="165" fontId="10" fillId="8" borderId="47" xfId="0" applyNumberFormat="1" applyFont="1" applyFill="1" applyBorder="1" applyAlignment="1">
      <alignment horizontal="left"/>
    </xf>
    <xf numFmtId="165" fontId="10" fillId="5" borderId="47" xfId="0" applyNumberFormat="1" applyFont="1" applyFill="1" applyBorder="1" applyAlignment="1">
      <alignment horizontal="left"/>
    </xf>
    <xf numFmtId="0" fontId="10" fillId="5" borderId="46" xfId="0" applyNumberFormat="1" applyFont="1" applyFill="1" applyBorder="1" applyAlignment="1">
      <alignment horizontal="left" vertical="center"/>
    </xf>
    <xf numFmtId="0" fontId="9" fillId="5" borderId="46" xfId="0" applyNumberFormat="1" applyFont="1" applyFill="1" applyBorder="1" applyAlignment="1">
      <alignment horizontal="left"/>
    </xf>
    <xf numFmtId="0" fontId="10" fillId="5" borderId="18" xfId="0" applyNumberFormat="1" applyFont="1" applyFill="1" applyBorder="1" applyAlignment="1">
      <alignment horizontal="left" vertical="center" wrapText="1"/>
    </xf>
    <xf numFmtId="9" fontId="5" fillId="5" borderId="39" xfId="0" applyNumberFormat="1" applyFont="1" applyFill="1" applyBorder="1" applyAlignment="1"/>
    <xf numFmtId="166" fontId="9" fillId="5" borderId="41" xfId="0" applyNumberFormat="1" applyFont="1" applyFill="1" applyBorder="1" applyAlignment="1">
      <alignment horizontal="left"/>
    </xf>
    <xf numFmtId="166" fontId="9" fillId="5" borderId="39" xfId="0" applyNumberFormat="1" applyFont="1" applyFill="1" applyBorder="1" applyAlignment="1">
      <alignment horizontal="left"/>
    </xf>
    <xf numFmtId="3" fontId="10" fillId="5" borderId="42" xfId="0" applyNumberFormat="1" applyFont="1" applyFill="1" applyBorder="1" applyAlignment="1">
      <alignment horizontal="left" vertical="center"/>
    </xf>
    <xf numFmtId="0" fontId="5" fillId="5" borderId="42" xfId="0" applyNumberFormat="1" applyFont="1" applyFill="1" applyBorder="1" applyAlignment="1"/>
    <xf numFmtId="0" fontId="5" fillId="5" borderId="59" xfId="0" applyNumberFormat="1" applyFont="1" applyFill="1" applyBorder="1" applyAlignment="1">
      <alignment horizontal="left"/>
    </xf>
    <xf numFmtId="0" fontId="5" fillId="5" borderId="60" xfId="0" applyNumberFormat="1" applyFont="1" applyFill="1" applyBorder="1" applyAlignment="1"/>
    <xf numFmtId="166" fontId="5" fillId="9" borderId="0" xfId="0" applyNumberFormat="1" applyFont="1" applyFill="1" applyBorder="1" applyAlignment="1"/>
    <xf numFmtId="0" fontId="5" fillId="5" borderId="13" xfId="0" applyNumberFormat="1" applyFont="1" applyFill="1" applyBorder="1" applyAlignment="1">
      <alignment horizontal="left"/>
    </xf>
    <xf numFmtId="0" fontId="5" fillId="5" borderId="61" xfId="0" applyNumberFormat="1" applyFont="1" applyFill="1" applyBorder="1" applyAlignment="1">
      <alignment horizontal="left"/>
    </xf>
    <xf numFmtId="0" fontId="11" fillId="5" borderId="5" xfId="0" applyNumberFormat="1" applyFont="1" applyFill="1" applyBorder="1" applyAlignment="1"/>
    <xf numFmtId="0" fontId="11" fillId="5" borderId="41" xfId="0" applyNumberFormat="1" applyFont="1" applyFill="1" applyBorder="1" applyAlignment="1"/>
    <xf numFmtId="1" fontId="12" fillId="5" borderId="51" xfId="0" applyNumberFormat="1" applyFont="1" applyFill="1" applyBorder="1" applyAlignment="1">
      <alignment horizontal="left"/>
    </xf>
    <xf numFmtId="164" fontId="5" fillId="5" borderId="45" xfId="0" applyNumberFormat="1" applyFont="1" applyFill="1" applyBorder="1" applyAlignment="1"/>
    <xf numFmtId="164" fontId="5" fillId="5" borderId="52" xfId="0" applyNumberFormat="1" applyFont="1" applyFill="1" applyBorder="1" applyAlignment="1"/>
    <xf numFmtId="164" fontId="5" fillId="5" borderId="51" xfId="0" applyNumberFormat="1" applyFont="1" applyFill="1" applyBorder="1" applyAlignment="1"/>
    <xf numFmtId="164" fontId="6" fillId="5" borderId="18" xfId="0" applyNumberFormat="1" applyFont="1" applyFill="1" applyBorder="1" applyAlignment="1"/>
    <xf numFmtId="1" fontId="13" fillId="5" borderId="5" xfId="0" applyNumberFormat="1" applyFont="1" applyFill="1" applyBorder="1" applyAlignment="1">
      <alignment wrapText="1"/>
    </xf>
    <xf numFmtId="0" fontId="11" fillId="5" borderId="46" xfId="0" applyNumberFormat="1" applyFont="1" applyFill="1" applyBorder="1" applyAlignment="1">
      <alignment horizontal="left"/>
    </xf>
    <xf numFmtId="0" fontId="11" fillId="5" borderId="45" xfId="0" applyNumberFormat="1" applyFont="1" applyFill="1" applyBorder="1" applyAlignment="1"/>
    <xf numFmtId="0" fontId="14" fillId="5" borderId="45" xfId="0" applyNumberFormat="1" applyFont="1" applyFill="1" applyBorder="1" applyAlignment="1"/>
    <xf numFmtId="0" fontId="14" fillId="5" borderId="45" xfId="0" applyNumberFormat="1" applyFont="1" applyFill="1" applyBorder="1" applyAlignment="1">
      <alignment horizontal="center"/>
    </xf>
    <xf numFmtId="0" fontId="11" fillId="5" borderId="46" xfId="0" applyNumberFormat="1" applyFont="1" applyFill="1" applyBorder="1" applyAlignment="1"/>
    <xf numFmtId="0" fontId="11" fillId="5" borderId="62" xfId="0" applyNumberFormat="1" applyFont="1" applyFill="1" applyBorder="1" applyAlignment="1">
      <alignment horizontal="left"/>
    </xf>
    <xf numFmtId="165" fontId="13" fillId="4" borderId="47" xfId="0" applyNumberFormat="1" applyFont="1" applyFill="1" applyBorder="1" applyAlignment="1">
      <alignment horizontal="center"/>
    </xf>
    <xf numFmtId="0" fontId="11" fillId="5" borderId="39" xfId="0" applyNumberFormat="1" applyFont="1" applyFill="1" applyBorder="1" applyAlignment="1"/>
    <xf numFmtId="0" fontId="11" fillId="5" borderId="18" xfId="0" applyNumberFormat="1" applyFont="1" applyFill="1" applyBorder="1" applyAlignment="1"/>
    <xf numFmtId="0" fontId="11" fillId="5" borderId="63" xfId="0" applyNumberFormat="1" applyFont="1" applyFill="1" applyBorder="1" applyAlignment="1"/>
    <xf numFmtId="0" fontId="13" fillId="10" borderId="29" xfId="0" applyNumberFormat="1" applyFont="1" applyFill="1" applyBorder="1" applyAlignment="1"/>
    <xf numFmtId="0" fontId="13" fillId="10" borderId="64" xfId="0" applyNumberFormat="1" applyFont="1" applyFill="1" applyBorder="1" applyAlignment="1"/>
    <xf numFmtId="0" fontId="11" fillId="5" borderId="65" xfId="0" applyNumberFormat="1" applyFont="1" applyFill="1" applyBorder="1" applyAlignment="1">
      <alignment horizontal="left"/>
    </xf>
    <xf numFmtId="165" fontId="11" fillId="5" borderId="66" xfId="0" applyNumberFormat="1" applyFont="1" applyFill="1" applyBorder="1" applyAlignment="1"/>
    <xf numFmtId="0" fontId="13" fillId="5" borderId="41" xfId="0" applyNumberFormat="1" applyFont="1" applyFill="1" applyBorder="1" applyAlignment="1">
      <alignment horizontal="left"/>
    </xf>
    <xf numFmtId="165" fontId="13" fillId="5" borderId="39" xfId="0" applyNumberFormat="1" applyFont="1" applyFill="1" applyBorder="1" applyAlignment="1"/>
    <xf numFmtId="0" fontId="11" fillId="5" borderId="41" xfId="0" applyNumberFormat="1" applyFont="1" applyFill="1" applyBorder="1" applyAlignment="1">
      <alignment horizontal="left"/>
    </xf>
    <xf numFmtId="165" fontId="11" fillId="5" borderId="39" xfId="0" applyNumberFormat="1" applyFont="1" applyFill="1" applyBorder="1" applyAlignment="1"/>
    <xf numFmtId="0" fontId="13" fillId="5" borderId="62" xfId="0" applyNumberFormat="1" applyFont="1" applyFill="1" applyBorder="1" applyAlignment="1">
      <alignment horizontal="left"/>
    </xf>
    <xf numFmtId="165" fontId="13" fillId="5" borderId="67" xfId="0" applyNumberFormat="1" applyFont="1" applyFill="1" applyBorder="1" applyAlignment="1"/>
    <xf numFmtId="0" fontId="15" fillId="5" borderId="5" xfId="0" applyNumberFormat="1" applyFont="1" applyFill="1" applyBorder="1" applyAlignment="1"/>
    <xf numFmtId="0" fontId="15" fillId="5" borderId="63" xfId="0" applyNumberFormat="1" applyFont="1" applyFill="1" applyBorder="1" applyAlignment="1"/>
    <xf numFmtId="0" fontId="12" fillId="10" borderId="29" xfId="0" applyNumberFormat="1" applyFont="1" applyFill="1" applyBorder="1" applyAlignment="1">
      <alignment horizontal="left"/>
    </xf>
    <xf numFmtId="165" fontId="12" fillId="10" borderId="68" xfId="0" applyNumberFormat="1" applyFont="1" applyFill="1" applyBorder="1" applyAlignment="1"/>
    <xf numFmtId="0" fontId="15" fillId="5" borderId="39" xfId="0" applyNumberFormat="1" applyFont="1" applyFill="1" applyBorder="1" applyAlignment="1"/>
    <xf numFmtId="0" fontId="15" fillId="5" borderId="18" xfId="0" applyNumberFormat="1" applyFont="1" applyFill="1" applyBorder="1" applyAlignment="1"/>
    <xf numFmtId="165" fontId="15" fillId="5" borderId="5" xfId="0" applyNumberFormat="1" applyFont="1" applyFill="1" applyBorder="1" applyAlignment="1"/>
    <xf numFmtId="0" fontId="5" fillId="5" borderId="65" xfId="0" applyNumberFormat="1" applyFont="1" applyFill="1" applyBorder="1" applyAlignment="1"/>
    <xf numFmtId="0" fontId="5" fillId="5" borderId="66" xfId="0" applyNumberFormat="1" applyFont="1" applyFill="1" applyBorder="1" applyAlignment="1"/>
    <xf numFmtId="0" fontId="13" fillId="10" borderId="29" xfId="0" applyNumberFormat="1" applyFont="1" applyFill="1" applyBorder="1" applyAlignment="1">
      <alignment horizontal="left"/>
    </xf>
    <xf numFmtId="0" fontId="13" fillId="10" borderId="68" xfId="0" applyNumberFormat="1" applyFont="1" applyFill="1" applyBorder="1" applyAlignment="1">
      <alignment horizontal="center"/>
    </xf>
    <xf numFmtId="165" fontId="11" fillId="5" borderId="5" xfId="0" applyNumberFormat="1" applyFont="1" applyFill="1" applyBorder="1" applyAlignment="1"/>
    <xf numFmtId="165" fontId="13" fillId="10" borderId="68" xfId="0" applyNumberFormat="1" applyFont="1" applyFill="1" applyBorder="1" applyAlignment="1"/>
    <xf numFmtId="0" fontId="11" fillId="5" borderId="69" xfId="0" applyNumberFormat="1" applyFont="1" applyFill="1" applyBorder="1" applyAlignment="1"/>
    <xf numFmtId="0" fontId="11" fillId="5" borderId="68" xfId="0" applyNumberFormat="1" applyFont="1" applyFill="1" applyBorder="1" applyAlignment="1"/>
    <xf numFmtId="0" fontId="13" fillId="5" borderId="62" xfId="0" applyNumberFormat="1" applyFont="1" applyFill="1" applyBorder="1" applyAlignment="1">
      <alignment horizontal="left" wrapText="1"/>
    </xf>
    <xf numFmtId="0" fontId="11" fillId="5" borderId="65" xfId="0" applyNumberFormat="1" applyFont="1" applyFill="1" applyBorder="1" applyAlignment="1"/>
    <xf numFmtId="0" fontId="13" fillId="5" borderId="70" xfId="0" applyNumberFormat="1" applyFont="1" applyFill="1" applyBorder="1" applyAlignment="1">
      <alignment horizontal="left"/>
    </xf>
    <xf numFmtId="165" fontId="13" fillId="5" borderId="71" xfId="0" applyNumberFormat="1" applyFont="1" applyFill="1" applyBorder="1" applyAlignment="1"/>
    <xf numFmtId="165" fontId="13" fillId="5" borderId="66" xfId="0" applyNumberFormat="1" applyFont="1" applyFill="1" applyBorder="1" applyAlignment="1"/>
    <xf numFmtId="0" fontId="11" fillId="5" borderId="60" xfId="0" applyNumberFormat="1" applyFont="1" applyFill="1" applyBorder="1" applyAlignment="1"/>
    <xf numFmtId="165" fontId="13" fillId="10" borderId="74" xfId="0" applyNumberFormat="1" applyFont="1" applyFill="1" applyBorder="1" applyAlignment="1"/>
    <xf numFmtId="0" fontId="11" fillId="5" borderId="3" xfId="0" applyNumberFormat="1" applyFont="1" applyFill="1" applyBorder="1" applyAlignment="1"/>
    <xf numFmtId="165" fontId="11" fillId="5" borderId="45" xfId="0" applyNumberFormat="1" applyFont="1" applyFill="1" applyBorder="1" applyAlignment="1"/>
    <xf numFmtId="0" fontId="12" fillId="4" borderId="29" xfId="0" applyNumberFormat="1" applyFont="1" applyFill="1" applyBorder="1" applyAlignment="1">
      <alignment horizontal="left"/>
    </xf>
    <xf numFmtId="165" fontId="12" fillId="4" borderId="47" xfId="0" applyNumberFormat="1" applyFont="1" applyFill="1" applyBorder="1" applyAlignment="1"/>
    <xf numFmtId="166" fontId="5" fillId="5" borderId="36" xfId="0" applyNumberFormat="1" applyFont="1" applyFill="1" applyBorder="1" applyAlignment="1"/>
    <xf numFmtId="165" fontId="5" fillId="5" borderId="36" xfId="0" applyNumberFormat="1" applyFont="1" applyFill="1" applyBorder="1" applyAlignment="1"/>
    <xf numFmtId="165" fontId="5" fillId="5" borderId="45" xfId="0" applyNumberFormat="1" applyFont="1" applyFill="1" applyBorder="1" applyAlignment="1"/>
    <xf numFmtId="164" fontId="6" fillId="5" borderId="45" xfId="0" applyNumberFormat="1" applyFont="1" applyFill="1" applyBorder="1" applyAlignment="1"/>
    <xf numFmtId="166" fontId="5" fillId="5" borderId="45" xfId="0" applyNumberFormat="1" applyFont="1" applyFill="1" applyBorder="1" applyAlignment="1"/>
    <xf numFmtId="165" fontId="5" fillId="5" borderId="52" xfId="0" applyNumberFormat="1" applyFont="1" applyFill="1" applyBorder="1" applyAlignment="1"/>
    <xf numFmtId="166" fontId="5" fillId="5" borderId="46" xfId="0" applyNumberFormat="1" applyFont="1" applyFill="1" applyBorder="1" applyAlignment="1"/>
    <xf numFmtId="165" fontId="5" fillId="5" borderId="46" xfId="0" applyNumberFormat="1" applyFont="1" applyFill="1" applyBorder="1" applyAlignment="1"/>
    <xf numFmtId="164" fontId="5" fillId="5" borderId="18" xfId="0" applyNumberFormat="1" applyFont="1" applyFill="1" applyBorder="1" applyAlignment="1"/>
    <xf numFmtId="166" fontId="5" fillId="5" borderId="8" xfId="0" applyNumberFormat="1" applyFont="1" applyFill="1" applyBorder="1" applyAlignment="1"/>
    <xf numFmtId="0" fontId="5" fillId="5" borderId="63" xfId="0" applyNumberFormat="1" applyFont="1" applyFill="1" applyBorder="1" applyAlignment="1"/>
    <xf numFmtId="166" fontId="5" fillId="5" borderId="1" xfId="0" applyNumberFormat="1" applyFont="1" applyFill="1" applyBorder="1" applyAlignment="1"/>
    <xf numFmtId="166" fontId="5" fillId="5" borderId="63" xfId="0" applyNumberFormat="1" applyFont="1" applyFill="1" applyBorder="1" applyAlignment="1"/>
    <xf numFmtId="165" fontId="5" fillId="5" borderId="6" xfId="0" applyNumberFormat="1" applyFont="1" applyFill="1" applyBorder="1" applyAlignment="1"/>
    <xf numFmtId="0" fontId="5" fillId="5" borderId="76" xfId="0" applyNumberFormat="1" applyFont="1" applyFill="1" applyBorder="1" applyAlignment="1"/>
    <xf numFmtId="166" fontId="5" fillId="5" borderId="29" xfId="0" applyNumberFormat="1" applyFont="1" applyFill="1" applyBorder="1" applyAlignment="1"/>
    <xf numFmtId="0" fontId="5" fillId="5" borderId="77" xfId="0" applyNumberFormat="1" applyFont="1" applyFill="1" applyBorder="1" applyAlignment="1"/>
    <xf numFmtId="0" fontId="5" fillId="5" borderId="78" xfId="0" applyNumberFormat="1" applyFont="1" applyFill="1" applyBorder="1" applyAlignment="1"/>
    <xf numFmtId="166" fontId="5" fillId="5" borderId="34" xfId="0" applyNumberFormat="1" applyFont="1" applyFill="1" applyBorder="1" applyAlignment="1"/>
    <xf numFmtId="0" fontId="5" fillId="5" borderId="8" xfId="0" applyNumberFormat="1" applyFont="1" applyFill="1" applyBorder="1" applyAlignment="1">
      <alignment horizontal="center"/>
    </xf>
    <xf numFmtId="164" fontId="5" fillId="5" borderId="35" xfId="0" applyNumberFormat="1" applyFont="1" applyFill="1" applyBorder="1" applyAlignment="1"/>
    <xf numFmtId="164" fontId="5" fillId="5" borderId="8" xfId="0" applyNumberFormat="1" applyFont="1" applyFill="1" applyBorder="1" applyAlignment="1"/>
    <xf numFmtId="166" fontId="5" fillId="5" borderId="3" xfId="0" applyNumberFormat="1" applyFont="1" applyFill="1" applyBorder="1" applyAlignment="1"/>
    <xf numFmtId="165" fontId="5" fillId="5" borderId="8" xfId="0" applyNumberFormat="1" applyFont="1" applyFill="1" applyBorder="1" applyAlignment="1"/>
    <xf numFmtId="0" fontId="6" fillId="5" borderId="1" xfId="0" applyNumberFormat="1" applyFont="1" applyFill="1" applyBorder="1" applyAlignment="1">
      <alignment horizontal="center" vertical="center" wrapText="1"/>
    </xf>
    <xf numFmtId="0" fontId="5" fillId="5" borderId="11" xfId="0" applyNumberFormat="1" applyFont="1" applyFill="1" applyBorder="1" applyAlignment="1">
      <alignment horizontal="left" vertical="center" wrapText="1"/>
    </xf>
    <xf numFmtId="0" fontId="6"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166" fontId="6" fillId="4" borderId="1" xfId="0" applyNumberFormat="1" applyFont="1" applyFill="1" applyBorder="1" applyAlignment="1">
      <alignment horizontal="center" vertical="center" wrapText="1"/>
    </xf>
    <xf numFmtId="165" fontId="6" fillId="4" borderId="1" xfId="0" applyNumberFormat="1" applyFont="1" applyFill="1" applyBorder="1" applyAlignment="1">
      <alignment horizontal="center" vertical="center" wrapText="1"/>
    </xf>
    <xf numFmtId="0" fontId="5" fillId="5" borderId="11" xfId="0" applyNumberFormat="1" applyFont="1" applyFill="1" applyBorder="1" applyAlignment="1">
      <alignment horizontal="left" wrapText="1"/>
    </xf>
    <xf numFmtId="0" fontId="5" fillId="5" borderId="7" xfId="0" applyNumberFormat="1" applyFont="1" applyFill="1" applyBorder="1" applyAlignment="1">
      <alignment horizontal="center"/>
    </xf>
    <xf numFmtId="0" fontId="5" fillId="5" borderId="3" xfId="0" applyNumberFormat="1" applyFont="1" applyFill="1" applyBorder="1" applyAlignment="1">
      <alignment horizontal="left"/>
    </xf>
    <xf numFmtId="164" fontId="5" fillId="5" borderId="3" xfId="0" applyNumberFormat="1" applyFont="1" applyFill="1" applyBorder="1" applyAlignment="1">
      <alignment horizontal="left"/>
    </xf>
    <xf numFmtId="166" fontId="5" fillId="5" borderId="3" xfId="0" applyNumberFormat="1" applyFont="1" applyFill="1" applyBorder="1" applyAlignment="1">
      <alignment horizontal="left"/>
    </xf>
    <xf numFmtId="165" fontId="5" fillId="5" borderId="3" xfId="0" applyNumberFormat="1" applyFont="1" applyFill="1" applyBorder="1" applyAlignment="1">
      <alignment horizontal="left"/>
    </xf>
    <xf numFmtId="0" fontId="5" fillId="5" borderId="63" xfId="0" applyNumberFormat="1" applyFont="1" applyFill="1" applyBorder="1" applyAlignment="1">
      <alignment horizontal="left"/>
    </xf>
    <xf numFmtId="0" fontId="5" fillId="5" borderId="11" xfId="0" applyNumberFormat="1" applyFont="1" applyFill="1" applyBorder="1" applyAlignment="1">
      <alignment horizontal="left"/>
    </xf>
    <xf numFmtId="0" fontId="5" fillId="10" borderId="1" xfId="0" applyNumberFormat="1" applyFont="1" applyFill="1" applyBorder="1" applyAlignment="1">
      <alignment horizontal="left"/>
    </xf>
    <xf numFmtId="167" fontId="16" fillId="10" borderId="1" xfId="0" applyNumberFormat="1" applyFont="1" applyFill="1" applyBorder="1" applyAlignment="1">
      <alignment horizontal="left"/>
    </xf>
    <xf numFmtId="167" fontId="6" fillId="10" borderId="1" xfId="0" applyNumberFormat="1" applyFont="1" applyFill="1" applyBorder="1" applyAlignment="1">
      <alignment horizontal="left"/>
    </xf>
    <xf numFmtId="167" fontId="6" fillId="5" borderId="1" xfId="0" applyNumberFormat="1" applyFont="1" applyFill="1" applyBorder="1" applyAlignment="1">
      <alignment horizontal="left"/>
    </xf>
    <xf numFmtId="166" fontId="6" fillId="5" borderId="1" xfId="0" applyNumberFormat="1" applyFont="1" applyFill="1" applyBorder="1" applyAlignment="1">
      <alignment horizontal="left"/>
    </xf>
    <xf numFmtId="165" fontId="6" fillId="10" borderId="1" xfId="0" applyNumberFormat="1" applyFont="1" applyFill="1" applyBorder="1" applyAlignment="1">
      <alignment horizontal="left"/>
    </xf>
    <xf numFmtId="165" fontId="5" fillId="5" borderId="11" xfId="0" applyNumberFormat="1" applyFont="1" applyFill="1" applyBorder="1" applyAlignment="1">
      <alignment horizontal="left"/>
    </xf>
    <xf numFmtId="0" fontId="5" fillId="10" borderId="33" xfId="0" applyNumberFormat="1" applyFont="1" applyFill="1" applyBorder="1" applyAlignment="1">
      <alignment horizontal="left"/>
    </xf>
    <xf numFmtId="167" fontId="16" fillId="10" borderId="33" xfId="0" applyNumberFormat="1" applyFont="1" applyFill="1" applyBorder="1" applyAlignment="1">
      <alignment horizontal="left"/>
    </xf>
    <xf numFmtId="167" fontId="6" fillId="10" borderId="33" xfId="0" applyNumberFormat="1" applyFont="1" applyFill="1" applyBorder="1" applyAlignment="1">
      <alignment horizontal="left"/>
    </xf>
    <xf numFmtId="167" fontId="6" fillId="5" borderId="33" xfId="0" applyNumberFormat="1" applyFont="1" applyFill="1" applyBorder="1" applyAlignment="1">
      <alignment horizontal="left"/>
    </xf>
    <xf numFmtId="166" fontId="6" fillId="5" borderId="33" xfId="0" applyNumberFormat="1" applyFont="1" applyFill="1" applyBorder="1" applyAlignment="1">
      <alignment horizontal="left"/>
    </xf>
    <xf numFmtId="165" fontId="6" fillId="10" borderId="33" xfId="0" applyNumberFormat="1" applyFont="1" applyFill="1" applyBorder="1" applyAlignment="1">
      <alignment horizontal="left"/>
    </xf>
    <xf numFmtId="0" fontId="6" fillId="4" borderId="15" xfId="0" applyNumberFormat="1" applyFont="1" applyFill="1" applyBorder="1" applyAlignment="1">
      <alignment horizontal="left"/>
    </xf>
    <xf numFmtId="164" fontId="6" fillId="11" borderId="80" xfId="0" applyNumberFormat="1" applyFont="1" applyFill="1" applyBorder="1" applyAlignment="1">
      <alignment horizontal="left"/>
    </xf>
    <xf numFmtId="164" fontId="6" fillId="11" borderId="20" xfId="0" applyNumberFormat="1" applyFont="1" applyFill="1" applyBorder="1" applyAlignment="1">
      <alignment horizontal="left"/>
    </xf>
    <xf numFmtId="164" fontId="6" fillId="11" borderId="81" xfId="0" applyNumberFormat="1" applyFont="1" applyFill="1" applyBorder="1" applyAlignment="1">
      <alignment horizontal="left"/>
    </xf>
    <xf numFmtId="164" fontId="6" fillId="4" borderId="17" xfId="0" applyNumberFormat="1" applyFont="1" applyFill="1" applyBorder="1" applyAlignment="1">
      <alignment horizontal="left"/>
    </xf>
    <xf numFmtId="164" fontId="6" fillId="5" borderId="47" xfId="0" applyNumberFormat="1" applyFont="1" applyFill="1" applyBorder="1" applyAlignment="1">
      <alignment horizontal="left"/>
    </xf>
    <xf numFmtId="166" fontId="6" fillId="4" borderId="47" xfId="0" applyNumberFormat="1" applyFont="1" applyFill="1" applyBorder="1" applyAlignment="1">
      <alignment horizontal="left"/>
    </xf>
    <xf numFmtId="165" fontId="6" fillId="4" borderId="47" xfId="0" applyNumberFormat="1" applyFont="1" applyFill="1" applyBorder="1" applyAlignment="1">
      <alignment horizontal="left"/>
    </xf>
    <xf numFmtId="165" fontId="5" fillId="5" borderId="39" xfId="0" applyNumberFormat="1" applyFont="1" applyFill="1" applyBorder="1" applyAlignment="1">
      <alignment horizontal="left"/>
    </xf>
    <xf numFmtId="166" fontId="5" fillId="5" borderId="35" xfId="0" applyNumberFormat="1" applyFont="1" applyFill="1" applyBorder="1" applyAlignment="1"/>
    <xf numFmtId="165" fontId="5" fillId="5" borderId="35" xfId="0" applyNumberFormat="1" applyFont="1" applyFill="1" applyBorder="1" applyAlignment="1"/>
    <xf numFmtId="0" fontId="16" fillId="5" borderId="5" xfId="0" applyNumberFormat="1" applyFont="1" applyFill="1" applyBorder="1" applyAlignment="1">
      <alignment horizontal="left"/>
    </xf>
    <xf numFmtId="166" fontId="16" fillId="10" borderId="1" xfId="0" applyNumberFormat="1" applyFont="1" applyFill="1" applyBorder="1" applyAlignment="1">
      <alignment horizontal="left"/>
    </xf>
    <xf numFmtId="164" fontId="6" fillId="10" borderId="1" xfId="0" applyNumberFormat="1" applyFont="1" applyFill="1" applyBorder="1" applyAlignment="1">
      <alignment horizontal="left"/>
    </xf>
    <xf numFmtId="164" fontId="6" fillId="5" borderId="1" xfId="0" applyNumberFormat="1" applyFont="1" applyFill="1" applyBorder="1" applyAlignment="1">
      <alignment horizontal="left"/>
    </xf>
    <xf numFmtId="164" fontId="6" fillId="5" borderId="33" xfId="0" applyNumberFormat="1" applyFont="1" applyFill="1" applyBorder="1" applyAlignment="1">
      <alignment horizontal="left"/>
    </xf>
    <xf numFmtId="164" fontId="6" fillId="4" borderId="10" xfId="0" applyNumberFormat="1" applyFont="1" applyFill="1" applyBorder="1" applyAlignment="1">
      <alignment horizontal="left"/>
    </xf>
    <xf numFmtId="164" fontId="6" fillId="4" borderId="1" xfId="0" applyNumberFormat="1" applyFont="1" applyFill="1" applyBorder="1" applyAlignment="1">
      <alignment horizontal="left"/>
    </xf>
    <xf numFmtId="164" fontId="6" fillId="4" borderId="9" xfId="0" applyNumberFormat="1" applyFont="1" applyFill="1" applyBorder="1" applyAlignment="1">
      <alignment horizontal="left"/>
    </xf>
    <xf numFmtId="164" fontId="6" fillId="5" borderId="21" xfId="0" applyNumberFormat="1" applyFont="1" applyFill="1" applyBorder="1" applyAlignment="1">
      <alignment horizontal="left"/>
    </xf>
    <xf numFmtId="164" fontId="5" fillId="5" borderId="35" xfId="0" applyNumberFormat="1" applyFont="1" applyFill="1" applyBorder="1" applyAlignment="1">
      <alignment horizontal="left"/>
    </xf>
    <xf numFmtId="166" fontId="5" fillId="5" borderId="35" xfId="0" applyNumberFormat="1" applyFont="1" applyFill="1" applyBorder="1" applyAlignment="1">
      <alignment horizontal="left"/>
    </xf>
    <xf numFmtId="165" fontId="5" fillId="5" borderId="35" xfId="0" applyNumberFormat="1" applyFont="1" applyFill="1" applyBorder="1" applyAlignment="1">
      <alignment horizontal="left"/>
    </xf>
    <xf numFmtId="0" fontId="5" fillId="10" borderId="1" xfId="0" applyNumberFormat="1" applyFont="1" applyFill="1" applyBorder="1" applyAlignment="1"/>
    <xf numFmtId="166" fontId="6" fillId="4" borderId="1" xfId="0" applyNumberFormat="1" applyFont="1" applyFill="1" applyBorder="1" applyAlignment="1">
      <alignment horizontal="left"/>
    </xf>
    <xf numFmtId="165" fontId="6" fillId="4" borderId="1" xfId="0" applyNumberFormat="1" applyFont="1" applyFill="1" applyBorder="1" applyAlignment="1">
      <alignment horizontal="left"/>
    </xf>
    <xf numFmtId="0" fontId="5" fillId="5" borderId="82" xfId="0" applyNumberFormat="1" applyFont="1" applyFill="1" applyBorder="1" applyAlignment="1">
      <alignment horizontal="left"/>
    </xf>
    <xf numFmtId="166" fontId="5" fillId="5" borderId="82" xfId="0" applyNumberFormat="1" applyFont="1" applyFill="1" applyBorder="1" applyAlignment="1">
      <alignment horizontal="left"/>
    </xf>
    <xf numFmtId="165" fontId="5" fillId="5" borderId="82" xfId="0" applyNumberFormat="1" applyFont="1" applyFill="1" applyBorder="1" applyAlignment="1">
      <alignment horizontal="left"/>
    </xf>
    <xf numFmtId="164" fontId="5" fillId="5" borderId="46" xfId="0" applyNumberFormat="1" applyFont="1" applyFill="1" applyBorder="1" applyAlignment="1">
      <alignment horizontal="left"/>
    </xf>
    <xf numFmtId="166" fontId="5" fillId="5" borderId="46" xfId="0" applyNumberFormat="1" applyFont="1" applyFill="1" applyBorder="1" applyAlignment="1">
      <alignment horizontal="left"/>
    </xf>
    <xf numFmtId="165" fontId="5" fillId="5" borderId="46" xfId="0" applyNumberFormat="1" applyFont="1" applyFill="1" applyBorder="1" applyAlignment="1">
      <alignment horizontal="left"/>
    </xf>
    <xf numFmtId="164" fontId="5" fillId="5" borderId="5" xfId="0" applyNumberFormat="1" applyFont="1" applyFill="1" applyBorder="1" applyAlignment="1">
      <alignment horizontal="left"/>
    </xf>
    <xf numFmtId="166" fontId="5" fillId="5" borderId="5" xfId="0" applyNumberFormat="1" applyFont="1" applyFill="1" applyBorder="1" applyAlignment="1">
      <alignment horizontal="left"/>
    </xf>
    <xf numFmtId="49" fontId="5" fillId="5" borderId="5" xfId="0" applyNumberFormat="1" applyFont="1" applyFill="1" applyBorder="1" applyAlignment="1">
      <alignment horizontal="left"/>
    </xf>
    <xf numFmtId="164" fontId="6" fillId="5" borderId="5" xfId="0" applyNumberFormat="1" applyFont="1" applyFill="1" applyBorder="1" applyAlignment="1"/>
    <xf numFmtId="164" fontId="6" fillId="5" borderId="39" xfId="0" applyNumberFormat="1" applyFont="1" applyFill="1" applyBorder="1" applyAlignment="1">
      <alignment horizontal="center" wrapText="1"/>
    </xf>
    <xf numFmtId="0" fontId="6" fillId="4" borderId="47" xfId="0" applyNumberFormat="1" applyFont="1" applyFill="1" applyBorder="1" applyAlignment="1">
      <alignment horizontal="center" vertical="center" wrapText="1"/>
    </xf>
    <xf numFmtId="0" fontId="6" fillId="5" borderId="18" xfId="0" applyNumberFormat="1" applyFont="1" applyFill="1" applyBorder="1" applyAlignment="1">
      <alignment horizontal="center" wrapText="1"/>
    </xf>
    <xf numFmtId="0" fontId="6" fillId="5" borderId="5" xfId="0" applyNumberFormat="1" applyFont="1" applyFill="1" applyBorder="1" applyAlignment="1">
      <alignment horizontal="center" wrapText="1"/>
    </xf>
    <xf numFmtId="0" fontId="5" fillId="10" borderId="75" xfId="0" applyNumberFormat="1" applyFont="1" applyFill="1" applyBorder="1" applyAlignment="1">
      <alignment horizontal="left"/>
    </xf>
    <xf numFmtId="0" fontId="5" fillId="10" borderId="23" xfId="0" applyNumberFormat="1" applyFont="1" applyFill="1" applyBorder="1" applyAlignment="1">
      <alignment horizontal="left"/>
    </xf>
    <xf numFmtId="165" fontId="5" fillId="5" borderId="24" xfId="0" applyNumberFormat="1" applyFont="1" applyFill="1" applyBorder="1" applyAlignment="1"/>
    <xf numFmtId="164" fontId="5" fillId="5" borderId="25" xfId="0" applyNumberFormat="1" applyFont="1" applyFill="1" applyBorder="1" applyAlignment="1"/>
    <xf numFmtId="0" fontId="5" fillId="10" borderId="79" xfId="0" applyNumberFormat="1" applyFont="1" applyFill="1" applyBorder="1" applyAlignment="1">
      <alignment horizontal="left"/>
    </xf>
    <xf numFmtId="0" fontId="5" fillId="10" borderId="27" xfId="0" applyNumberFormat="1" applyFont="1" applyFill="1" applyBorder="1" applyAlignment="1">
      <alignment horizontal="left"/>
    </xf>
    <xf numFmtId="164" fontId="5" fillId="5" borderId="29" xfId="0" applyNumberFormat="1" applyFont="1" applyFill="1" applyBorder="1" applyAlignment="1"/>
    <xf numFmtId="0" fontId="5" fillId="10" borderId="26" xfId="0" applyNumberFormat="1" applyFont="1" applyFill="1" applyBorder="1" applyAlignment="1">
      <alignment horizontal="left"/>
    </xf>
    <xf numFmtId="0" fontId="5" fillId="10" borderId="30" xfId="0" applyNumberFormat="1" applyFont="1" applyFill="1" applyBorder="1" applyAlignment="1">
      <alignment horizontal="left"/>
    </xf>
    <xf numFmtId="0" fontId="5" fillId="10" borderId="31" xfId="0" applyNumberFormat="1" applyFont="1" applyFill="1" applyBorder="1" applyAlignment="1">
      <alignment horizontal="left"/>
    </xf>
    <xf numFmtId="164" fontId="5" fillId="5" borderId="33" xfId="0" applyNumberFormat="1" applyFont="1" applyFill="1" applyBorder="1" applyAlignment="1"/>
    <xf numFmtId="164" fontId="5" fillId="5" borderId="34" xfId="0" applyNumberFormat="1" applyFont="1" applyFill="1" applyBorder="1" applyAlignment="1"/>
    <xf numFmtId="0" fontId="5" fillId="4" borderId="17" xfId="0" applyNumberFormat="1" applyFont="1" applyFill="1" applyBorder="1" applyAlignment="1">
      <alignment horizontal="left"/>
    </xf>
    <xf numFmtId="164" fontId="6" fillId="4" borderId="47" xfId="0" applyNumberFormat="1" applyFont="1" applyFill="1" applyBorder="1" applyAlignment="1"/>
    <xf numFmtId="164" fontId="6" fillId="4" borderId="19" xfId="0" applyNumberFormat="1" applyFont="1" applyFill="1" applyBorder="1" applyAlignment="1"/>
    <xf numFmtId="0" fontId="6" fillId="5" borderId="45" xfId="0" applyNumberFormat="1" applyFont="1" applyFill="1" applyBorder="1" applyAlignment="1">
      <alignment horizontal="left"/>
    </xf>
    <xf numFmtId="0" fontId="6" fillId="5" borderId="52" xfId="0" applyNumberFormat="1" applyFont="1" applyFill="1" applyBorder="1" applyAlignment="1">
      <alignment horizontal="left"/>
    </xf>
    <xf numFmtId="165" fontId="6" fillId="5" borderId="45" xfId="0" applyNumberFormat="1" applyFont="1" applyFill="1" applyBorder="1" applyAlignment="1"/>
    <xf numFmtId="0" fontId="5" fillId="5" borderId="83" xfId="0" applyNumberFormat="1" applyFont="1" applyFill="1" applyBorder="1" applyAlignment="1">
      <alignment horizontal="left"/>
    </xf>
    <xf numFmtId="0" fontId="5" fillId="5" borderId="84" xfId="0" applyNumberFormat="1" applyFont="1" applyFill="1" applyBorder="1" applyAlignment="1">
      <alignment horizontal="left"/>
    </xf>
    <xf numFmtId="0" fontId="5" fillId="5" borderId="76" xfId="0" applyNumberFormat="1" applyFont="1" applyFill="1" applyBorder="1" applyAlignment="1">
      <alignment horizontal="left"/>
    </xf>
    <xf numFmtId="0" fontId="5" fillId="5" borderId="69" xfId="0" applyNumberFormat="1" applyFont="1" applyFill="1" applyBorder="1" applyAlignment="1">
      <alignment horizontal="left"/>
    </xf>
    <xf numFmtId="0" fontId="5" fillId="5" borderId="77" xfId="0" applyNumberFormat="1" applyFont="1" applyFill="1" applyBorder="1" applyAlignment="1">
      <alignment horizontal="left"/>
    </xf>
    <xf numFmtId="0" fontId="5" fillId="5" borderId="86" xfId="0" applyNumberFormat="1" applyFont="1" applyFill="1" applyBorder="1" applyAlignment="1">
      <alignment horizontal="left"/>
    </xf>
    <xf numFmtId="164" fontId="6" fillId="4" borderId="20" xfId="0" applyNumberFormat="1" applyFont="1" applyFill="1" applyBorder="1" applyAlignment="1"/>
    <xf numFmtId="164" fontId="6" fillId="4" borderId="21" xfId="0" applyNumberFormat="1" applyFont="1" applyFill="1" applyBorder="1" applyAlignment="1"/>
    <xf numFmtId="0" fontId="13" fillId="4" borderId="15" xfId="0" applyNumberFormat="1" applyFont="1" applyFill="1" applyBorder="1" applyAlignment="1">
      <alignment horizontal="left" vertical="center" wrapText="1"/>
    </xf>
    <xf numFmtId="0" fontId="13" fillId="4" borderId="17" xfId="0" applyNumberFormat="1" applyFont="1" applyFill="1" applyBorder="1" applyAlignment="1">
      <alignment horizontal="left" vertical="center" wrapText="1"/>
    </xf>
    <xf numFmtId="164" fontId="13" fillId="5" borderId="39" xfId="0" applyNumberFormat="1" applyFont="1" applyFill="1" applyBorder="1" applyAlignment="1">
      <alignment horizontal="center"/>
    </xf>
    <xf numFmtId="164" fontId="13" fillId="4" borderId="47" xfId="0" applyNumberFormat="1" applyFont="1" applyFill="1" applyBorder="1" applyAlignment="1">
      <alignment horizontal="center" vertical="center" wrapText="1"/>
    </xf>
    <xf numFmtId="164" fontId="13" fillId="12" borderId="47" xfId="0" applyNumberFormat="1" applyFont="1" applyFill="1" applyBorder="1" applyAlignment="1">
      <alignment horizontal="center" vertical="center" wrapText="1"/>
    </xf>
    <xf numFmtId="0" fontId="6" fillId="5" borderId="46" xfId="0" applyNumberFormat="1" applyFont="1" applyFill="1" applyBorder="1" applyAlignment="1">
      <alignment horizontal="left"/>
    </xf>
    <xf numFmtId="165" fontId="6" fillId="5" borderId="46" xfId="0" applyNumberFormat="1" applyFont="1" applyFill="1" applyBorder="1" applyAlignment="1"/>
    <xf numFmtId="0" fontId="6" fillId="5" borderId="36" xfId="0" applyNumberFormat="1" applyFont="1" applyFill="1" applyBorder="1" applyAlignment="1">
      <alignment horizontal="left"/>
    </xf>
    <xf numFmtId="165" fontId="6" fillId="5" borderId="36" xfId="0" applyNumberFormat="1" applyFont="1" applyFill="1" applyBorder="1" applyAlignment="1"/>
    <xf numFmtId="0" fontId="5" fillId="10" borderId="22" xfId="0" applyNumberFormat="1" applyFont="1" applyFill="1" applyBorder="1" applyAlignment="1">
      <alignment horizontal="left"/>
    </xf>
    <xf numFmtId="165" fontId="5" fillId="10" borderId="24" xfId="0" applyNumberFormat="1" applyFont="1" applyFill="1" applyBorder="1" applyAlignment="1"/>
    <xf numFmtId="165" fontId="5" fillId="10" borderId="25" xfId="0" applyNumberFormat="1" applyFont="1" applyFill="1" applyBorder="1" applyAlignment="1"/>
    <xf numFmtId="165" fontId="5" fillId="10" borderId="85" xfId="0" applyNumberFormat="1" applyFont="1" applyFill="1" applyBorder="1" applyAlignment="1"/>
    <xf numFmtId="165" fontId="5" fillId="10" borderId="28" xfId="0" applyNumberFormat="1" applyFont="1" applyFill="1" applyBorder="1" applyAlignment="1"/>
    <xf numFmtId="165" fontId="5" fillId="10" borderId="1" xfId="0" applyNumberFormat="1" applyFont="1" applyFill="1" applyBorder="1" applyAlignment="1"/>
    <xf numFmtId="165" fontId="5" fillId="10" borderId="29" xfId="0" applyNumberFormat="1" applyFont="1" applyFill="1" applyBorder="1" applyAlignment="1"/>
    <xf numFmtId="0" fontId="6" fillId="4" borderId="15" xfId="0" applyNumberFormat="1" applyFont="1" applyFill="1" applyBorder="1" applyAlignment="1">
      <alignment horizontal="left" vertical="center"/>
    </xf>
    <xf numFmtId="0" fontId="5" fillId="4" borderId="17" xfId="0" applyNumberFormat="1" applyFont="1" applyFill="1" applyBorder="1" applyAlignment="1">
      <alignment horizontal="left" vertical="center"/>
    </xf>
    <xf numFmtId="0" fontId="5" fillId="5" borderId="0" xfId="0" applyNumberFormat="1" applyFont="1" applyFill="1" applyAlignment="1"/>
    <xf numFmtId="167" fontId="5" fillId="5" borderId="0" xfId="0" applyNumberFormat="1" applyFont="1" applyFill="1" applyAlignment="1"/>
    <xf numFmtId="10" fontId="5" fillId="5" borderId="5" xfId="0" applyNumberFormat="1" applyFont="1" applyFill="1" applyBorder="1" applyAlignment="1"/>
    <xf numFmtId="49" fontId="5" fillId="5" borderId="59" xfId="0" applyNumberFormat="1" applyFont="1" applyFill="1" applyBorder="1" applyAlignment="1"/>
    <xf numFmtId="0" fontId="5" fillId="5" borderId="59" xfId="0" applyNumberFormat="1" applyFont="1" applyFill="1" applyBorder="1" applyAlignment="1"/>
    <xf numFmtId="164" fontId="5" fillId="5" borderId="5" xfId="0" applyNumberFormat="1" applyFont="1" applyFill="1" applyBorder="1" applyAlignment="1">
      <alignment wrapText="1"/>
    </xf>
    <xf numFmtId="167" fontId="5" fillId="5" borderId="5" xfId="0" applyNumberFormat="1" applyFont="1" applyFill="1" applyBorder="1" applyAlignment="1">
      <alignment wrapText="1"/>
    </xf>
    <xf numFmtId="49" fontId="5" fillId="6" borderId="0" xfId="0" applyNumberFormat="1" applyFont="1" applyFill="1" applyBorder="1" applyAlignment="1"/>
    <xf numFmtId="164" fontId="5" fillId="5" borderId="13" xfId="0" applyNumberFormat="1" applyFont="1" applyFill="1" applyBorder="1" applyAlignment="1"/>
    <xf numFmtId="167" fontId="5" fillId="5" borderId="5" xfId="0" applyNumberFormat="1" applyFont="1" applyFill="1" applyBorder="1" applyAlignment="1"/>
    <xf numFmtId="49" fontId="5" fillId="13" borderId="0" xfId="0" applyNumberFormat="1" applyFont="1" applyFill="1" applyBorder="1" applyAlignment="1"/>
    <xf numFmtId="0" fontId="5" fillId="13" borderId="0" xfId="0" applyNumberFormat="1" applyFont="1" applyFill="1" applyBorder="1" applyAlignment="1"/>
    <xf numFmtId="49" fontId="5" fillId="5" borderId="87" xfId="0" applyNumberFormat="1" applyFont="1" applyFill="1" applyBorder="1" applyAlignment="1"/>
    <xf numFmtId="0" fontId="5" fillId="5" borderId="87" xfId="0" applyNumberFormat="1" applyFont="1" applyFill="1" applyBorder="1" applyAlignment="1"/>
    <xf numFmtId="49" fontId="5" fillId="5" borderId="88" xfId="0" applyNumberFormat="1" applyFont="1" applyFill="1" applyBorder="1" applyAlignment="1"/>
    <xf numFmtId="0" fontId="5" fillId="5" borderId="89" xfId="0" applyNumberFormat="1" applyFont="1" applyFill="1" applyBorder="1" applyAlignment="1"/>
    <xf numFmtId="49" fontId="5" fillId="5" borderId="61" xfId="0" applyNumberFormat="1" applyFont="1" applyFill="1" applyBorder="1" applyAlignment="1"/>
    <xf numFmtId="0" fontId="5" fillId="5" borderId="61" xfId="0" applyNumberFormat="1" applyFont="1" applyFill="1" applyBorder="1" applyAlignment="1"/>
    <xf numFmtId="164" fontId="5" fillId="5" borderId="59" xfId="0" applyNumberFormat="1" applyFont="1" applyFill="1" applyBorder="1" applyAlignment="1"/>
    <xf numFmtId="164" fontId="5" fillId="14" borderId="0" xfId="0" applyNumberFormat="1" applyFont="1" applyFill="1" applyBorder="1" applyAlignment="1"/>
    <xf numFmtId="167" fontId="5" fillId="5" borderId="13" xfId="0" applyNumberFormat="1" applyFont="1" applyFill="1" applyBorder="1" applyAlignment="1"/>
    <xf numFmtId="0" fontId="5" fillId="5" borderId="90" xfId="0" applyNumberFormat="1" applyFont="1" applyFill="1" applyBorder="1" applyAlignment="1"/>
    <xf numFmtId="164" fontId="5" fillId="5" borderId="89" xfId="0" applyNumberFormat="1" applyFont="1" applyFill="1" applyBorder="1" applyAlignment="1"/>
    <xf numFmtId="0" fontId="5" fillId="5" borderId="91" xfId="0" applyNumberFormat="1" applyFont="1" applyFill="1" applyBorder="1" applyAlignment="1"/>
    <xf numFmtId="164" fontId="5" fillId="5" borderId="92" xfId="0" applyNumberFormat="1" applyFont="1" applyFill="1" applyBorder="1" applyAlignment="1"/>
    <xf numFmtId="164" fontId="5" fillId="5" borderId="61" xfId="0" applyNumberFormat="1" applyFont="1" applyFill="1" applyBorder="1" applyAlignment="1"/>
    <xf numFmtId="49" fontId="5" fillId="5" borderId="60" xfId="0" applyNumberFormat="1" applyFont="1" applyFill="1" applyBorder="1" applyAlignment="1"/>
    <xf numFmtId="164" fontId="5" fillId="5" borderId="93" xfId="0" applyNumberFormat="1" applyFont="1" applyFill="1" applyBorder="1" applyAlignment="1"/>
    <xf numFmtId="164" fontId="5" fillId="5" borderId="87" xfId="0" applyNumberFormat="1" applyFont="1" applyFill="1" applyBorder="1" applyAlignment="1"/>
    <xf numFmtId="9" fontId="5" fillId="5" borderId="5" xfId="0" applyNumberFormat="1" applyFont="1" applyFill="1" applyBorder="1" applyAlignment="1"/>
    <xf numFmtId="0" fontId="6" fillId="5" borderId="5" xfId="0" applyNumberFormat="1" applyFont="1" applyFill="1" applyBorder="1" applyAlignment="1"/>
    <xf numFmtId="0" fontId="5" fillId="15" borderId="0" xfId="0" applyNumberFormat="1" applyFont="1" applyFill="1" applyBorder="1" applyAlignment="1"/>
    <xf numFmtId="164" fontId="5" fillId="15" borderId="0" xfId="0" applyNumberFormat="1" applyFont="1" applyFill="1" applyBorder="1" applyAlignment="1"/>
    <xf numFmtId="164" fontId="5" fillId="5" borderId="94" xfId="0" applyNumberFormat="1" applyFont="1" applyFill="1" applyBorder="1" applyAlignment="1"/>
    <xf numFmtId="49" fontId="5" fillId="15" borderId="0" xfId="0" applyNumberFormat="1" applyFont="1" applyFill="1" applyBorder="1" applyAlignment="1"/>
    <xf numFmtId="164" fontId="5" fillId="5" borderId="60" xfId="0" applyNumberFormat="1" applyFont="1" applyFill="1" applyBorder="1" applyAlignment="1"/>
    <xf numFmtId="164" fontId="5" fillId="16" borderId="0" xfId="0" applyNumberFormat="1" applyFont="1" applyFill="1" applyBorder="1" applyAlignment="1"/>
    <xf numFmtId="164" fontId="6" fillId="5" borderId="36" xfId="0" applyNumberFormat="1" applyFont="1" applyFill="1" applyBorder="1" applyAlignment="1"/>
    <xf numFmtId="0" fontId="12" fillId="5" borderId="51" xfId="0" applyNumberFormat="1" applyFont="1" applyFill="1" applyBorder="1" applyAlignment="1">
      <alignment horizontal="left"/>
    </xf>
    <xf numFmtId="164" fontId="6" fillId="5" borderId="52" xfId="0" applyNumberFormat="1" applyFont="1" applyFill="1" applyBorder="1" applyAlignment="1"/>
    <xf numFmtId="164" fontId="6" fillId="5" borderId="46" xfId="0" applyNumberFormat="1" applyFont="1" applyFill="1" applyBorder="1" applyAlignment="1"/>
    <xf numFmtId="0" fontId="6" fillId="11" borderId="15" xfId="0" applyNumberFormat="1" applyFont="1" applyFill="1" applyBorder="1" applyAlignment="1">
      <alignment horizontal="center"/>
    </xf>
    <xf numFmtId="0" fontId="5" fillId="11" borderId="16" xfId="0" applyNumberFormat="1" applyFont="1" applyFill="1" applyBorder="1" applyAlignment="1">
      <alignment horizontal="center"/>
    </xf>
    <xf numFmtId="0" fontId="5" fillId="11" borderId="17" xfId="0" applyNumberFormat="1" applyFont="1" applyFill="1" applyBorder="1" applyAlignment="1">
      <alignment horizontal="center"/>
    </xf>
    <xf numFmtId="0" fontId="6" fillId="11" borderId="47" xfId="0" applyNumberFormat="1" applyFont="1" applyFill="1" applyBorder="1" applyAlignment="1">
      <alignment horizontal="center"/>
    </xf>
    <xf numFmtId="1" fontId="13" fillId="5" borderId="36" xfId="0" applyNumberFormat="1" applyFont="1" applyFill="1" applyBorder="1" applyAlignment="1">
      <alignment horizontal="right"/>
    </xf>
    <xf numFmtId="164" fontId="6" fillId="11" borderId="47" xfId="0" applyNumberFormat="1" applyFont="1" applyFill="1" applyBorder="1" applyAlignment="1">
      <alignment horizontal="center"/>
    </xf>
    <xf numFmtId="164" fontId="6" fillId="5" borderId="39" xfId="0" applyNumberFormat="1" applyFont="1" applyFill="1" applyBorder="1" applyAlignment="1">
      <alignment horizontal="left"/>
    </xf>
    <xf numFmtId="0" fontId="6" fillId="5" borderId="95" xfId="0" applyNumberFormat="1" applyFont="1" applyFill="1" applyBorder="1" applyAlignment="1">
      <alignment horizontal="center" vertical="center" wrapText="1"/>
    </xf>
    <xf numFmtId="0" fontId="6" fillId="5" borderId="20" xfId="0" applyNumberFormat="1" applyFont="1" applyFill="1" applyBorder="1" applyAlignment="1">
      <alignment horizontal="center" vertical="center" wrapText="1"/>
    </xf>
    <xf numFmtId="0" fontId="6" fillId="5" borderId="21" xfId="0" applyNumberFormat="1" applyFont="1" applyFill="1" applyBorder="1" applyAlignment="1">
      <alignment horizontal="center" vertical="center" wrapText="1"/>
    </xf>
    <xf numFmtId="1" fontId="6" fillId="5" borderId="18" xfId="0" applyNumberFormat="1" applyFont="1" applyFill="1" applyBorder="1" applyAlignment="1">
      <alignment horizontal="center" vertical="center" wrapText="1"/>
    </xf>
    <xf numFmtId="1" fontId="6" fillId="5" borderId="41" xfId="0" applyNumberFormat="1" applyFont="1" applyFill="1" applyBorder="1" applyAlignment="1">
      <alignment horizontal="center" vertical="center" wrapText="1"/>
    </xf>
    <xf numFmtId="164" fontId="6" fillId="11" borderId="47" xfId="0" applyNumberFormat="1" applyFont="1" applyFill="1" applyBorder="1" applyAlignment="1">
      <alignment horizontal="center" wrapText="1"/>
    </xf>
    <xf numFmtId="0" fontId="6" fillId="5" borderId="39" xfId="0" applyNumberFormat="1" applyFont="1" applyFill="1" applyBorder="1" applyAlignment="1">
      <alignment horizontal="center" wrapText="1"/>
    </xf>
    <xf numFmtId="0" fontId="17" fillId="15" borderId="47" xfId="0" applyNumberFormat="1" applyFont="1" applyFill="1" applyBorder="1" applyAlignment="1">
      <alignment horizontal="center" wrapText="1"/>
    </xf>
    <xf numFmtId="0" fontId="6" fillId="11" borderId="47" xfId="0" applyNumberFormat="1" applyFont="1" applyFill="1" applyBorder="1" applyAlignment="1">
      <alignment horizontal="center" vertical="center" wrapText="1"/>
    </xf>
    <xf numFmtId="0" fontId="6" fillId="17" borderId="47" xfId="0" applyNumberFormat="1" applyFont="1" applyFill="1" applyBorder="1" applyAlignment="1">
      <alignment horizontal="center" vertical="center" wrapText="1"/>
    </xf>
    <xf numFmtId="164" fontId="17" fillId="5" borderId="39" xfId="0" applyNumberFormat="1" applyFont="1" applyFill="1" applyBorder="1" applyAlignment="1">
      <alignment horizontal="center" wrapText="1"/>
    </xf>
    <xf numFmtId="0" fontId="13" fillId="5" borderId="5" xfId="0" applyNumberFormat="1" applyFont="1" applyFill="1" applyBorder="1" applyAlignment="1">
      <alignment horizontal="center" vertical="center"/>
    </xf>
    <xf numFmtId="0" fontId="13" fillId="5" borderId="5" xfId="0" applyNumberFormat="1" applyFont="1" applyFill="1" applyBorder="1" applyAlignment="1">
      <alignment horizontal="center" vertical="center" wrapText="1"/>
    </xf>
    <xf numFmtId="1" fontId="13" fillId="5" borderId="5" xfId="0" applyNumberFormat="1" applyFont="1" applyFill="1" applyBorder="1" applyAlignment="1">
      <alignment horizontal="center" vertical="center" wrapText="1"/>
    </xf>
    <xf numFmtId="1" fontId="13" fillId="5" borderId="41" xfId="0" applyNumberFormat="1" applyFont="1" applyFill="1" applyBorder="1" applyAlignment="1">
      <alignment horizontal="center" vertical="center" wrapText="1"/>
    </xf>
    <xf numFmtId="0" fontId="13" fillId="11" borderId="15" xfId="0" applyNumberFormat="1" applyFont="1" applyFill="1" applyBorder="1" applyAlignment="1">
      <alignment horizontal="left" vertical="center" wrapText="1"/>
    </xf>
    <xf numFmtId="0" fontId="13" fillId="11" borderId="17" xfId="0" applyNumberFormat="1" applyFont="1" applyFill="1" applyBorder="1" applyAlignment="1">
      <alignment horizontal="left" vertical="center" wrapText="1"/>
    </xf>
    <xf numFmtId="164" fontId="13" fillId="11" borderId="47" xfId="0" applyNumberFormat="1" applyFont="1" applyFill="1" applyBorder="1" applyAlignment="1">
      <alignment horizontal="center" vertical="center" wrapText="1"/>
    </xf>
    <xf numFmtId="0" fontId="13" fillId="5" borderId="39" xfId="0" applyNumberFormat="1" applyFont="1" applyFill="1" applyBorder="1" applyAlignment="1">
      <alignment horizontal="center"/>
    </xf>
    <xf numFmtId="164" fontId="13" fillId="16" borderId="47" xfId="0" applyNumberFormat="1" applyFont="1" applyFill="1" applyBorder="1" applyAlignment="1">
      <alignment horizontal="center" vertical="center" wrapText="1"/>
    </xf>
    <xf numFmtId="164" fontId="13" fillId="5" borderId="39" xfId="0" applyNumberFormat="1" applyFont="1" applyFill="1" applyBorder="1" applyAlignment="1">
      <alignment horizontal="center" vertical="center" wrapText="1"/>
    </xf>
    <xf numFmtId="0" fontId="13" fillId="5" borderId="5" xfId="0" applyNumberFormat="1" applyFont="1" applyFill="1" applyBorder="1" applyAlignment="1">
      <alignment horizontal="center"/>
    </xf>
    <xf numFmtId="0" fontId="13" fillId="5" borderId="18" xfId="0" applyNumberFormat="1" applyFont="1" applyFill="1" applyBorder="1" applyAlignment="1">
      <alignment horizontal="center"/>
    </xf>
    <xf numFmtId="0" fontId="13" fillId="12" borderId="15" xfId="0" applyNumberFormat="1" applyFont="1" applyFill="1" applyBorder="1" applyAlignment="1">
      <alignment horizontal="left" vertical="center"/>
    </xf>
    <xf numFmtId="0" fontId="13" fillId="12" borderId="17" xfId="0" applyNumberFormat="1" applyFont="1" applyFill="1" applyBorder="1" applyAlignment="1">
      <alignment horizontal="left" vertical="center" wrapText="1"/>
    </xf>
    <xf numFmtId="0" fontId="5" fillId="5" borderId="25" xfId="0" applyNumberFormat="1" applyFont="1" applyFill="1" applyBorder="1" applyAlignment="1">
      <alignment horizontal="left"/>
    </xf>
    <xf numFmtId="0" fontId="5" fillId="5" borderId="85" xfId="0" applyNumberFormat="1" applyFont="1" applyFill="1" applyBorder="1" applyAlignment="1"/>
    <xf numFmtId="0" fontId="5" fillId="12" borderId="22" xfId="0" applyNumberFormat="1" applyFont="1" applyFill="1" applyBorder="1" applyAlignment="1">
      <alignment horizontal="left"/>
    </xf>
    <xf numFmtId="0" fontId="5" fillId="12" borderId="23" xfId="0" applyNumberFormat="1" applyFont="1" applyFill="1" applyBorder="1" applyAlignment="1">
      <alignment horizontal="left"/>
    </xf>
    <xf numFmtId="164" fontId="6" fillId="12" borderId="64" xfId="0" applyNumberFormat="1" applyFont="1" applyFill="1" applyBorder="1" applyAlignment="1"/>
    <xf numFmtId="165" fontId="5" fillId="12" borderId="24" xfId="0" applyNumberFormat="1" applyFont="1" applyFill="1" applyBorder="1" applyAlignment="1"/>
    <xf numFmtId="165" fontId="5" fillId="12" borderId="25" xfId="0" applyNumberFormat="1" applyFont="1" applyFill="1" applyBorder="1" applyAlignment="1"/>
    <xf numFmtId="165" fontId="5" fillId="12" borderId="85" xfId="0" applyNumberFormat="1" applyFont="1" applyFill="1" applyBorder="1" applyAlignment="1"/>
    <xf numFmtId="165" fontId="5" fillId="5" borderId="39" xfId="0" applyNumberFormat="1" applyFont="1" applyFill="1" applyBorder="1" applyAlignment="1"/>
    <xf numFmtId="0" fontId="5" fillId="5" borderId="1" xfId="0" applyNumberFormat="1" applyFont="1" applyFill="1" applyBorder="1" applyAlignment="1">
      <alignment horizontal="left"/>
    </xf>
    <xf numFmtId="0" fontId="5" fillId="12" borderId="26" xfId="0" applyNumberFormat="1" applyFont="1" applyFill="1" applyBorder="1" applyAlignment="1">
      <alignment horizontal="left"/>
    </xf>
    <xf numFmtId="0" fontId="5" fillId="12" borderId="27" xfId="0" applyNumberFormat="1" applyFont="1" applyFill="1" applyBorder="1" applyAlignment="1">
      <alignment horizontal="left"/>
    </xf>
    <xf numFmtId="164" fontId="6" fillId="12" borderId="68" xfId="0" applyNumberFormat="1" applyFont="1" applyFill="1" applyBorder="1" applyAlignment="1"/>
    <xf numFmtId="165" fontId="5" fillId="12" borderId="28" xfId="0" applyNumberFormat="1" applyFont="1" applyFill="1" applyBorder="1" applyAlignment="1"/>
    <xf numFmtId="165" fontId="5" fillId="12" borderId="1" xfId="0" applyNumberFormat="1" applyFont="1" applyFill="1" applyBorder="1" applyAlignment="1"/>
    <xf numFmtId="165" fontId="5" fillId="12" borderId="29" xfId="0" applyNumberFormat="1" applyFont="1" applyFill="1" applyBorder="1" applyAlignment="1"/>
    <xf numFmtId="0" fontId="5" fillId="12" borderId="30" xfId="0" applyNumberFormat="1" applyFont="1" applyFill="1" applyBorder="1" applyAlignment="1">
      <alignment horizontal="left"/>
    </xf>
    <xf numFmtId="0" fontId="5" fillId="12" borderId="31" xfId="0" applyNumberFormat="1" applyFont="1" applyFill="1" applyBorder="1" applyAlignment="1">
      <alignment horizontal="left"/>
    </xf>
    <xf numFmtId="164" fontId="6" fillId="12" borderId="74" xfId="0" applyNumberFormat="1" applyFont="1" applyFill="1" applyBorder="1" applyAlignment="1"/>
    <xf numFmtId="165" fontId="5" fillId="12" borderId="32" xfId="0" applyNumberFormat="1" applyFont="1" applyFill="1" applyBorder="1" applyAlignment="1"/>
    <xf numFmtId="165" fontId="5" fillId="12" borderId="33" xfId="0" applyNumberFormat="1" applyFont="1" applyFill="1" applyBorder="1" applyAlignment="1"/>
    <xf numFmtId="165" fontId="5" fillId="12" borderId="34" xfId="0" applyNumberFormat="1" applyFont="1" applyFill="1" applyBorder="1" applyAlignment="1"/>
    <xf numFmtId="0" fontId="5" fillId="5" borderId="7" xfId="0" applyNumberFormat="1" applyFont="1" applyFill="1" applyBorder="1" applyAlignment="1">
      <alignment horizontal="left"/>
    </xf>
    <xf numFmtId="0" fontId="6" fillId="11" borderId="15" xfId="0" applyNumberFormat="1" applyFont="1" applyFill="1" applyBorder="1" applyAlignment="1">
      <alignment horizontal="left"/>
    </xf>
    <xf numFmtId="0" fontId="5" fillId="11" borderId="17" xfId="0" applyNumberFormat="1" applyFont="1" applyFill="1" applyBorder="1" applyAlignment="1">
      <alignment horizontal="left"/>
    </xf>
    <xf numFmtId="164" fontId="6" fillId="11" borderId="47" xfId="0" applyNumberFormat="1" applyFont="1" applyFill="1" applyBorder="1" applyAlignment="1"/>
    <xf numFmtId="164" fontId="6" fillId="11" borderId="19" xfId="0" applyNumberFormat="1" applyFont="1" applyFill="1" applyBorder="1" applyAlignment="1"/>
    <xf numFmtId="164" fontId="6" fillId="11" borderId="20" xfId="0" applyNumberFormat="1" applyFont="1" applyFill="1" applyBorder="1" applyAlignment="1"/>
    <xf numFmtId="164" fontId="6" fillId="11" borderId="21" xfId="0" applyNumberFormat="1" applyFont="1" applyFill="1" applyBorder="1" applyAlignment="1"/>
    <xf numFmtId="164" fontId="6" fillId="5" borderId="39" xfId="0" applyNumberFormat="1" applyFont="1" applyFill="1" applyBorder="1" applyAlignment="1"/>
    <xf numFmtId="0" fontId="5" fillId="5" borderId="33" xfId="0" applyNumberFormat="1" applyFont="1" applyFill="1" applyBorder="1" applyAlignment="1">
      <alignment horizontal="left"/>
    </xf>
    <xf numFmtId="0" fontId="5" fillId="18" borderId="64" xfId="0" applyNumberFormat="1" applyFont="1" applyFill="1" applyBorder="1" applyAlignment="1">
      <alignment horizontal="left"/>
    </xf>
    <xf numFmtId="165" fontId="5" fillId="8" borderId="96" xfId="0" applyNumberFormat="1" applyFont="1" applyFill="1" applyBorder="1" applyAlignment="1"/>
    <xf numFmtId="165" fontId="5" fillId="8" borderId="100" xfId="0" applyNumberFormat="1" applyFont="1" applyFill="1" applyBorder="1" applyAlignment="1"/>
    <xf numFmtId="165" fontId="5" fillId="8" borderId="97" xfId="0" applyNumberFormat="1" applyFont="1" applyFill="1" applyBorder="1" applyAlignment="1"/>
    <xf numFmtId="165" fontId="5" fillId="19" borderId="64" xfId="0" applyNumberFormat="1" applyFont="1" applyFill="1" applyBorder="1" applyAlignment="1"/>
    <xf numFmtId="0" fontId="5" fillId="18" borderId="68" xfId="0" applyNumberFormat="1" applyFont="1" applyFill="1" applyBorder="1" applyAlignment="1">
      <alignment horizontal="left"/>
    </xf>
    <xf numFmtId="165" fontId="5" fillId="8" borderId="98" xfId="0" applyNumberFormat="1" applyFont="1" applyFill="1" applyBorder="1" applyAlignment="1"/>
    <xf numFmtId="165" fontId="5" fillId="8" borderId="0" xfId="0" applyNumberFormat="1" applyFont="1" applyFill="1" applyBorder="1" applyAlignment="1"/>
    <xf numFmtId="165" fontId="5" fillId="8" borderId="99" xfId="0" applyNumberFormat="1" applyFont="1" applyFill="1" applyBorder="1" applyAlignment="1"/>
    <xf numFmtId="165" fontId="5" fillId="19" borderId="28" xfId="0" applyNumberFormat="1" applyFont="1" applyFill="1" applyBorder="1" applyAlignment="1"/>
    <xf numFmtId="165" fontId="5" fillId="19" borderId="1" xfId="0" applyNumberFormat="1" applyFont="1" applyFill="1" applyBorder="1" applyAlignment="1"/>
    <xf numFmtId="165" fontId="5" fillId="19" borderId="29" xfId="0" applyNumberFormat="1" applyFont="1" applyFill="1" applyBorder="1" applyAlignment="1"/>
    <xf numFmtId="0" fontId="5" fillId="18" borderId="74" xfId="0" applyNumberFormat="1" applyFont="1" applyFill="1" applyBorder="1" applyAlignment="1">
      <alignment horizontal="left"/>
    </xf>
    <xf numFmtId="0" fontId="5" fillId="11" borderId="47" xfId="0" applyNumberFormat="1" applyFont="1" applyFill="1" applyBorder="1" applyAlignment="1">
      <alignment horizontal="center" vertical="center"/>
    </xf>
    <xf numFmtId="165" fontId="5" fillId="5" borderId="29" xfId="0" applyNumberFormat="1" applyFont="1" applyFill="1" applyBorder="1" applyAlignment="1"/>
    <xf numFmtId="0" fontId="5" fillId="18" borderId="22" xfId="0" applyNumberFormat="1" applyFont="1" applyFill="1" applyBorder="1" applyAlignment="1">
      <alignment horizontal="left"/>
    </xf>
    <xf numFmtId="0" fontId="5" fillId="18" borderId="23" xfId="0" applyNumberFormat="1" applyFont="1" applyFill="1" applyBorder="1" applyAlignment="1">
      <alignment horizontal="left"/>
    </xf>
    <xf numFmtId="0" fontId="5" fillId="18" borderId="26" xfId="0" applyNumberFormat="1" applyFont="1" applyFill="1" applyBorder="1" applyAlignment="1">
      <alignment horizontal="left"/>
    </xf>
    <xf numFmtId="0" fontId="5" fillId="18" borderId="27" xfId="0" applyNumberFormat="1" applyFont="1" applyFill="1" applyBorder="1" applyAlignment="1">
      <alignment horizontal="left"/>
    </xf>
    <xf numFmtId="0" fontId="5" fillId="18" borderId="30" xfId="0" applyNumberFormat="1" applyFont="1" applyFill="1" applyBorder="1" applyAlignment="1">
      <alignment horizontal="left"/>
    </xf>
    <xf numFmtId="0" fontId="5" fillId="18" borderId="31" xfId="0" applyNumberFormat="1" applyFont="1" applyFill="1" applyBorder="1" applyAlignment="1">
      <alignment horizontal="left"/>
    </xf>
    <xf numFmtId="165" fontId="5" fillId="8" borderId="56" xfId="0" applyNumberFormat="1" applyFont="1" applyFill="1" applyBorder="1" applyAlignment="1"/>
    <xf numFmtId="165" fontId="5" fillId="8" borderId="101" xfId="0" applyNumberFormat="1" applyFont="1" applyFill="1" applyBorder="1" applyAlignment="1"/>
    <xf numFmtId="165" fontId="5" fillId="8" borderId="57" xfId="0" applyNumberFormat="1" applyFont="1" applyFill="1" applyBorder="1" applyAlignment="1"/>
    <xf numFmtId="165" fontId="5" fillId="19" borderId="33" xfId="0" applyNumberFormat="1" applyFont="1" applyFill="1" applyBorder="1" applyAlignment="1"/>
    <xf numFmtId="165" fontId="5" fillId="19" borderId="34" xfId="0" applyNumberFormat="1" applyFont="1" applyFill="1" applyBorder="1" applyAlignment="1"/>
    <xf numFmtId="165" fontId="5" fillId="19" borderId="32" xfId="0" applyNumberFormat="1" applyFont="1" applyFill="1" applyBorder="1" applyAlignment="1"/>
    <xf numFmtId="164" fontId="6" fillId="11" borderId="32" xfId="0" applyNumberFormat="1" applyFont="1" applyFill="1" applyBorder="1" applyAlignment="1"/>
    <xf numFmtId="0" fontId="6" fillId="11" borderId="47" xfId="0" applyNumberFormat="1" applyFont="1" applyFill="1" applyBorder="1" applyAlignment="1">
      <alignment horizontal="left"/>
    </xf>
    <xf numFmtId="0" fontId="5" fillId="18" borderId="24" xfId="0" applyNumberFormat="1" applyFont="1" applyFill="1" applyBorder="1" applyAlignment="1">
      <alignment horizontal="left"/>
    </xf>
    <xf numFmtId="0" fontId="5" fillId="18" borderId="85" xfId="0" applyNumberFormat="1" applyFont="1" applyFill="1" applyBorder="1" applyAlignment="1">
      <alignment horizontal="left"/>
    </xf>
    <xf numFmtId="165" fontId="5" fillId="19" borderId="24" xfId="0" applyNumberFormat="1" applyFont="1" applyFill="1" applyBorder="1" applyAlignment="1"/>
    <xf numFmtId="164" fontId="5" fillId="19" borderId="25" xfId="0" applyNumberFormat="1" applyFont="1" applyFill="1" applyBorder="1" applyAlignment="1"/>
    <xf numFmtId="164" fontId="5" fillId="19" borderId="85" xfId="0" applyNumberFormat="1" applyFont="1" applyFill="1" applyBorder="1" applyAlignment="1"/>
    <xf numFmtId="164" fontId="5" fillId="19" borderId="24" xfId="0" applyNumberFormat="1" applyFont="1" applyFill="1" applyBorder="1" applyAlignment="1"/>
    <xf numFmtId="0" fontId="5" fillId="18" borderId="28" xfId="0" applyNumberFormat="1" applyFont="1" applyFill="1" applyBorder="1" applyAlignment="1">
      <alignment horizontal="left"/>
    </xf>
    <xf numFmtId="0" fontId="5" fillId="18" borderId="29" xfId="0" applyNumberFormat="1" applyFont="1" applyFill="1" applyBorder="1" applyAlignment="1">
      <alignment horizontal="left"/>
    </xf>
    <xf numFmtId="164" fontId="5" fillId="19" borderId="1" xfId="0" applyNumberFormat="1" applyFont="1" applyFill="1" applyBorder="1" applyAlignment="1"/>
    <xf numFmtId="164" fontId="5" fillId="19" borderId="29" xfId="0" applyNumberFormat="1" applyFont="1" applyFill="1" applyBorder="1" applyAlignment="1"/>
    <xf numFmtId="164" fontId="5" fillId="19" borderId="28" xfId="0" applyNumberFormat="1" applyFont="1" applyFill="1" applyBorder="1" applyAlignment="1"/>
    <xf numFmtId="0" fontId="5" fillId="18" borderId="32" xfId="0" applyNumberFormat="1" applyFont="1" applyFill="1" applyBorder="1" applyAlignment="1">
      <alignment horizontal="left"/>
    </xf>
    <xf numFmtId="0" fontId="5" fillId="18" borderId="34" xfId="0" applyNumberFormat="1" applyFont="1" applyFill="1" applyBorder="1" applyAlignment="1">
      <alignment horizontal="left"/>
    </xf>
    <xf numFmtId="164" fontId="5" fillId="19" borderId="33" xfId="0" applyNumberFormat="1" applyFont="1" applyFill="1" applyBorder="1" applyAlignment="1"/>
    <xf numFmtId="164" fontId="5" fillId="19" borderId="34" xfId="0" applyNumberFormat="1" applyFont="1" applyFill="1" applyBorder="1" applyAlignment="1"/>
    <xf numFmtId="164" fontId="5" fillId="19" borderId="32" xfId="0" applyNumberFormat="1" applyFont="1" applyFill="1" applyBorder="1" applyAlignment="1"/>
    <xf numFmtId="164" fontId="5" fillId="5" borderId="67" xfId="0" applyNumberFormat="1" applyFont="1" applyFill="1" applyBorder="1" applyAlignment="1"/>
    <xf numFmtId="164" fontId="5" fillId="5" borderId="68" xfId="0" applyNumberFormat="1" applyFont="1" applyFill="1" applyBorder="1" applyAlignment="1"/>
    <xf numFmtId="164" fontId="5" fillId="5" borderId="28" xfId="0" applyNumberFormat="1" applyFont="1" applyFill="1" applyBorder="1" applyAlignment="1"/>
    <xf numFmtId="0" fontId="6" fillId="11" borderId="17" xfId="0" applyNumberFormat="1" applyFont="1" applyFill="1" applyBorder="1" applyAlignment="1"/>
    <xf numFmtId="165" fontId="6" fillId="11" borderId="19" xfId="0" applyNumberFormat="1" applyFont="1" applyFill="1" applyBorder="1" applyAlignment="1"/>
    <xf numFmtId="165" fontId="6" fillId="11" borderId="20" xfId="0" applyNumberFormat="1" applyFont="1" applyFill="1" applyBorder="1" applyAlignment="1"/>
    <xf numFmtId="164" fontId="6" fillId="5" borderId="66" xfId="0" applyNumberFormat="1" applyFont="1" applyFill="1" applyBorder="1" applyAlignment="1"/>
    <xf numFmtId="164" fontId="6" fillId="5" borderId="8" xfId="0" applyNumberFormat="1" applyFont="1" applyFill="1" applyBorder="1" applyAlignment="1"/>
    <xf numFmtId="0" fontId="5" fillId="18" borderId="47" xfId="0" applyNumberFormat="1" applyFont="1" applyFill="1" applyBorder="1" applyAlignment="1">
      <alignment horizontal="left"/>
    </xf>
    <xf numFmtId="165" fontId="6" fillId="11" borderId="21" xfId="0" applyNumberFormat="1" applyFont="1" applyFill="1" applyBorder="1" applyAlignment="1"/>
    <xf numFmtId="0" fontId="5" fillId="5" borderId="8" xfId="0" applyNumberFormat="1" applyFont="1" applyFill="1" applyBorder="1" applyAlignment="1">
      <alignment horizontal="left"/>
    </xf>
    <xf numFmtId="0" fontId="6" fillId="5" borderId="45" xfId="0" applyNumberFormat="1" applyFont="1" applyFill="1" applyBorder="1" applyAlignment="1"/>
    <xf numFmtId="0" fontId="5" fillId="18" borderId="48" xfId="0" applyNumberFormat="1" applyFont="1" applyFill="1" applyBorder="1" applyAlignment="1">
      <alignment horizontal="left"/>
    </xf>
    <xf numFmtId="0" fontId="5" fillId="18" borderId="73" xfId="0" applyNumberFormat="1" applyFont="1" applyFill="1" applyBorder="1" applyAlignment="1">
      <alignment horizontal="left"/>
    </xf>
    <xf numFmtId="164" fontId="6" fillId="12" borderId="71" xfId="0" applyNumberFormat="1" applyFont="1" applyFill="1" applyBorder="1" applyAlignment="1"/>
    <xf numFmtId="164" fontId="6" fillId="12" borderId="73" xfId="0" applyNumberFormat="1" applyFont="1" applyFill="1" applyBorder="1" applyAlignment="1"/>
    <xf numFmtId="164" fontId="6" fillId="11" borderId="74" xfId="0" applyNumberFormat="1" applyFont="1" applyFill="1" applyBorder="1" applyAlignment="1"/>
    <xf numFmtId="164" fontId="6" fillId="11" borderId="33" xfId="0" applyNumberFormat="1" applyFont="1" applyFill="1" applyBorder="1" applyAlignment="1"/>
    <xf numFmtId="164" fontId="6" fillId="11" borderId="34" xfId="0" applyNumberFormat="1" applyFont="1" applyFill="1" applyBorder="1" applyAlignment="1"/>
    <xf numFmtId="0" fontId="5" fillId="12" borderId="22" xfId="0" applyNumberFormat="1" applyFont="1" applyFill="1" applyBorder="1" applyAlignment="1"/>
    <xf numFmtId="0" fontId="5" fillId="12" borderId="23" xfId="0" applyNumberFormat="1" applyFont="1" applyFill="1" applyBorder="1" applyAlignment="1"/>
    <xf numFmtId="0" fontId="5" fillId="12" borderId="26" xfId="0" applyNumberFormat="1" applyFont="1" applyFill="1" applyBorder="1" applyAlignment="1"/>
    <xf numFmtId="0" fontId="5" fillId="12" borderId="27" xfId="0" applyNumberFormat="1" applyFont="1" applyFill="1" applyBorder="1" applyAlignment="1"/>
    <xf numFmtId="0" fontId="5" fillId="12" borderId="30" xfId="0" applyNumberFormat="1" applyFont="1" applyFill="1" applyBorder="1" applyAlignment="1"/>
    <xf numFmtId="0" fontId="5" fillId="12" borderId="31" xfId="0" applyNumberFormat="1" applyFont="1" applyFill="1" applyBorder="1" applyAlignment="1"/>
    <xf numFmtId="164" fontId="5" fillId="5" borderId="102" xfId="0" applyNumberFormat="1" applyFont="1" applyFill="1" applyBorder="1" applyAlignment="1"/>
    <xf numFmtId="0" fontId="6" fillId="5" borderId="5" xfId="0" applyNumberFormat="1" applyFont="1" applyFill="1" applyBorder="1" applyAlignment="1">
      <alignment horizontal="left"/>
    </xf>
    <xf numFmtId="0" fontId="6" fillId="5" borderId="41" xfId="0" applyNumberFormat="1" applyFont="1" applyFill="1" applyBorder="1" applyAlignment="1"/>
    <xf numFmtId="0" fontId="6" fillId="11" borderId="17" xfId="0" applyNumberFormat="1" applyFont="1" applyFill="1" applyBorder="1" applyAlignment="1">
      <alignment horizontal="left"/>
    </xf>
    <xf numFmtId="0" fontId="18" fillId="5" borderId="18" xfId="0" applyNumberFormat="1" applyFont="1" applyFill="1" applyBorder="1" applyAlignment="1"/>
    <xf numFmtId="0" fontId="0" fillId="0" borderId="0" xfId="0" applyAlignment="1"/>
    <xf numFmtId="166" fontId="6" fillId="20" borderId="1" xfId="0" applyNumberFormat="1" applyFont="1" applyFill="1" applyBorder="1" applyAlignment="1">
      <alignment horizontal="left"/>
    </xf>
    <xf numFmtId="0" fontId="0" fillId="0" borderId="0" xfId="0" applyAlignment="1"/>
    <xf numFmtId="0" fontId="6" fillId="4" borderId="9" xfId="0" applyNumberFormat="1" applyFont="1" applyFill="1" applyBorder="1" applyAlignment="1">
      <alignment horizontal="center" vertical="center" wrapText="1"/>
    </xf>
    <xf numFmtId="0" fontId="6" fillId="4" borderId="22"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166" fontId="6" fillId="21" borderId="1" xfId="0" applyNumberFormat="1" applyFont="1" applyFill="1" applyBorder="1" applyAlignment="1">
      <alignment horizontal="left"/>
    </xf>
    <xf numFmtId="165" fontId="13" fillId="5" borderId="49" xfId="0" applyNumberFormat="1" applyFont="1" applyFill="1" applyBorder="1" applyAlignment="1"/>
    <xf numFmtId="0" fontId="5" fillId="10" borderId="9" xfId="0" applyNumberFormat="1" applyFont="1" applyFill="1" applyBorder="1" applyAlignment="1"/>
    <xf numFmtId="166" fontId="16" fillId="10" borderId="10" xfId="0" applyNumberFormat="1" applyFont="1" applyFill="1" applyBorder="1" applyAlignment="1">
      <alignment horizontal="left"/>
    </xf>
    <xf numFmtId="167" fontId="16" fillId="10" borderId="9" xfId="0" applyNumberFormat="1" applyFont="1" applyFill="1" applyBorder="1" applyAlignment="1">
      <alignment horizontal="left"/>
    </xf>
    <xf numFmtId="164" fontId="6" fillId="10" borderId="10" xfId="0" applyNumberFormat="1" applyFont="1" applyFill="1" applyBorder="1" applyAlignment="1">
      <alignment horizontal="left"/>
    </xf>
    <xf numFmtId="41" fontId="6" fillId="10" borderId="1" xfId="0" applyNumberFormat="1" applyFont="1" applyFill="1" applyBorder="1" applyAlignment="1">
      <alignment horizontal="left"/>
    </xf>
    <xf numFmtId="0" fontId="5" fillId="10" borderId="57" xfId="0" applyNumberFormat="1" applyFont="1" applyFill="1" applyBorder="1" applyAlignment="1">
      <alignment horizontal="left"/>
    </xf>
    <xf numFmtId="0" fontId="18" fillId="5" borderId="83" xfId="0" applyNumberFormat="1" applyFont="1" applyFill="1" applyBorder="1" applyAlignment="1">
      <alignment horizontal="left"/>
    </xf>
    <xf numFmtId="0" fontId="18" fillId="5" borderId="76" xfId="0" applyNumberFormat="1" applyFont="1" applyFill="1" applyBorder="1" applyAlignment="1">
      <alignment horizontal="left"/>
    </xf>
    <xf numFmtId="41" fontId="5" fillId="5" borderId="25" xfId="0" applyNumberFormat="1" applyFont="1" applyFill="1" applyBorder="1" applyAlignment="1"/>
    <xf numFmtId="41" fontId="5" fillId="5" borderId="85" xfId="0" applyNumberFormat="1" applyFont="1" applyFill="1" applyBorder="1" applyAlignment="1"/>
    <xf numFmtId="41" fontId="5" fillId="5" borderId="1" xfId="0" applyNumberFormat="1" applyFont="1" applyFill="1" applyBorder="1" applyAlignment="1"/>
    <xf numFmtId="41" fontId="5" fillId="5" borderId="29" xfId="0" applyNumberFormat="1" applyFont="1" applyFill="1" applyBorder="1" applyAlignment="1"/>
    <xf numFmtId="0" fontId="6" fillId="4" borderId="16" xfId="0" applyNumberFormat="1" applyFont="1" applyFill="1" applyBorder="1" applyAlignment="1">
      <alignment horizontal="left"/>
    </xf>
    <xf numFmtId="0" fontId="5" fillId="4" borderId="16" xfId="0" applyNumberFormat="1" applyFont="1" applyFill="1" applyBorder="1" applyAlignment="1">
      <alignment horizontal="left"/>
    </xf>
    <xf numFmtId="0" fontId="18" fillId="10" borderId="56" xfId="0" applyNumberFormat="1" applyFont="1" applyFill="1" applyBorder="1" applyAlignment="1">
      <alignment horizontal="left"/>
    </xf>
    <xf numFmtId="0" fontId="5" fillId="5" borderId="103" xfId="0" applyNumberFormat="1" applyFont="1" applyFill="1" applyBorder="1" applyAlignment="1"/>
    <xf numFmtId="164" fontId="5" fillId="5" borderId="103" xfId="0" applyNumberFormat="1" applyFont="1" applyFill="1" applyBorder="1" applyAlignment="1"/>
    <xf numFmtId="0" fontId="5" fillId="0" borderId="0" xfId="0" applyNumberFormat="1" applyFont="1" applyBorder="1" applyAlignment="1"/>
    <xf numFmtId="0" fontId="0" fillId="0" borderId="0" xfId="0" applyBorder="1" applyAlignment="1"/>
    <xf numFmtId="164" fontId="5" fillId="5" borderId="104" xfId="0" applyNumberFormat="1" applyFont="1" applyFill="1" applyBorder="1" applyAlignment="1"/>
    <xf numFmtId="164" fontId="5" fillId="5" borderId="104" xfId="0" applyNumberFormat="1" applyFont="1" applyFill="1" applyBorder="1" applyAlignment="1">
      <alignment vertical="center"/>
    </xf>
    <xf numFmtId="164" fontId="6" fillId="4" borderId="28" xfId="0" applyNumberFormat="1" applyFont="1" applyFill="1" applyBorder="1" applyAlignment="1"/>
    <xf numFmtId="164" fontId="6" fillId="4" borderId="1" xfId="0" applyNumberFormat="1" applyFont="1" applyFill="1" applyBorder="1" applyAlignment="1"/>
    <xf numFmtId="164" fontId="6" fillId="4" borderId="29" xfId="0" applyNumberFormat="1" applyFont="1" applyFill="1" applyBorder="1" applyAlignment="1"/>
    <xf numFmtId="164" fontId="6" fillId="4" borderId="32" xfId="0" applyNumberFormat="1" applyFont="1" applyFill="1" applyBorder="1" applyAlignment="1">
      <alignment vertical="center"/>
    </xf>
    <xf numFmtId="164" fontId="6" fillId="4" borderId="33" xfId="0" applyNumberFormat="1" applyFont="1" applyFill="1" applyBorder="1" applyAlignment="1">
      <alignment vertical="center"/>
    </xf>
    <xf numFmtId="164" fontId="6" fillId="4" borderId="34" xfId="0" applyNumberFormat="1" applyFont="1" applyFill="1" applyBorder="1" applyAlignment="1">
      <alignment vertical="center"/>
    </xf>
    <xf numFmtId="168" fontId="0" fillId="0" borderId="24" xfId="1" applyNumberFormat="1" applyFont="1" applyBorder="1" applyAlignment="1"/>
    <xf numFmtId="168" fontId="0" fillId="0" borderId="25" xfId="1" applyNumberFormat="1" applyFont="1" applyBorder="1" applyAlignment="1"/>
    <xf numFmtId="168" fontId="0" fillId="0" borderId="85" xfId="1" applyNumberFormat="1" applyFont="1" applyBorder="1" applyAlignment="1"/>
    <xf numFmtId="168" fontId="0" fillId="0" borderId="28" xfId="1" applyNumberFormat="1" applyFont="1" applyBorder="1" applyAlignment="1"/>
    <xf numFmtId="168" fontId="0" fillId="0" borderId="1" xfId="1" applyNumberFormat="1" applyFont="1" applyBorder="1" applyAlignment="1"/>
    <xf numFmtId="168" fontId="0" fillId="0" borderId="29" xfId="1" applyNumberFormat="1" applyFont="1" applyBorder="1" applyAlignment="1"/>
    <xf numFmtId="168" fontId="0" fillId="0" borderId="105" xfId="1" applyNumberFormat="1" applyFont="1" applyBorder="1" applyAlignment="1"/>
    <xf numFmtId="168" fontId="0" fillId="0" borderId="106" xfId="1" applyNumberFormat="1" applyFont="1" applyBorder="1" applyAlignment="1"/>
    <xf numFmtId="168" fontId="0" fillId="0" borderId="107" xfId="1" applyNumberFormat="1" applyFont="1" applyBorder="1" applyAlignment="1"/>
    <xf numFmtId="165" fontId="6" fillId="5" borderId="1" xfId="0" applyNumberFormat="1" applyFont="1" applyFill="1" applyBorder="1" applyAlignment="1">
      <alignment horizontal="left"/>
    </xf>
    <xf numFmtId="165" fontId="6" fillId="5" borderId="33" xfId="0" applyNumberFormat="1" applyFont="1" applyFill="1" applyBorder="1" applyAlignment="1">
      <alignment horizontal="left"/>
    </xf>
    <xf numFmtId="165" fontId="6" fillId="0" borderId="1" xfId="0" applyNumberFormat="1" applyFont="1" applyFill="1" applyBorder="1" applyAlignment="1">
      <alignment horizontal="left"/>
    </xf>
    <xf numFmtId="0" fontId="5" fillId="5" borderId="60" xfId="0" applyNumberFormat="1" applyFont="1" applyFill="1" applyBorder="1" applyAlignment="1">
      <alignment horizontal="left"/>
    </xf>
    <xf numFmtId="0" fontId="5" fillId="5" borderId="0" xfId="0" applyNumberFormat="1" applyFont="1" applyFill="1" applyBorder="1" applyAlignment="1">
      <alignment horizontal="left"/>
    </xf>
    <xf numFmtId="166" fontId="5" fillId="5" borderId="0" xfId="0" applyNumberFormat="1" applyFont="1" applyFill="1" applyBorder="1" applyAlignment="1">
      <alignment horizontal="left"/>
    </xf>
    <xf numFmtId="0" fontId="5" fillId="5" borderId="0" xfId="0" applyNumberFormat="1" applyFont="1" applyFill="1" applyBorder="1" applyAlignment="1"/>
    <xf numFmtId="0" fontId="5" fillId="5" borderId="108" xfId="0" applyNumberFormat="1" applyFont="1" applyFill="1" applyBorder="1" applyAlignment="1">
      <alignment horizontal="left" vertical="center" wrapText="1"/>
    </xf>
    <xf numFmtId="0" fontId="5" fillId="5" borderId="87" xfId="0" applyNumberFormat="1" applyFont="1" applyFill="1" applyBorder="1" applyAlignment="1">
      <alignment horizontal="left"/>
    </xf>
    <xf numFmtId="0" fontId="5" fillId="5" borderId="109" xfId="0" applyNumberFormat="1" applyFont="1" applyFill="1" applyBorder="1" applyAlignment="1">
      <alignment horizontal="left"/>
    </xf>
    <xf numFmtId="168" fontId="6" fillId="4" borderId="47" xfId="1" applyNumberFormat="1" applyFont="1" applyFill="1" applyBorder="1" applyAlignment="1">
      <alignment horizontal="center" vertical="center" wrapText="1"/>
    </xf>
    <xf numFmtId="0" fontId="0" fillId="0" borderId="0" xfId="0" applyAlignment="1"/>
    <xf numFmtId="0" fontId="6" fillId="0" borderId="12" xfId="0" applyNumberFormat="1" applyFont="1" applyFill="1" applyBorder="1" applyAlignment="1">
      <alignment horizontal="left"/>
    </xf>
    <xf numFmtId="0" fontId="5" fillId="0" borderId="12" xfId="0" applyNumberFormat="1" applyFont="1" applyFill="1" applyBorder="1" applyAlignment="1"/>
    <xf numFmtId="0" fontId="5" fillId="0" borderId="13" xfId="0" applyNumberFormat="1" applyFont="1" applyFill="1" applyBorder="1" applyAlignment="1"/>
    <xf numFmtId="0" fontId="5" fillId="0" borderId="5" xfId="0" applyNumberFormat="1" applyFont="1" applyFill="1" applyBorder="1" applyAlignment="1"/>
    <xf numFmtId="0" fontId="5" fillId="0" borderId="0" xfId="0" applyNumberFormat="1" applyFont="1" applyFill="1" applyAlignment="1"/>
    <xf numFmtId="0" fontId="0" fillId="0" borderId="0" xfId="0" applyFill="1" applyAlignment="1"/>
    <xf numFmtId="0" fontId="6" fillId="0" borderId="0" xfId="0" applyNumberFormat="1" applyFont="1" applyFill="1" applyBorder="1" applyAlignment="1"/>
    <xf numFmtId="0" fontId="5" fillId="0" borderId="0" xfId="0" applyNumberFormat="1" applyFont="1" applyFill="1" applyBorder="1" applyAlignment="1"/>
    <xf numFmtId="0" fontId="5" fillId="5" borderId="110" xfId="0" applyNumberFormat="1" applyFont="1" applyFill="1" applyBorder="1" applyAlignment="1"/>
    <xf numFmtId="0" fontId="21" fillId="5" borderId="1" xfId="0" applyNumberFormat="1" applyFont="1" applyFill="1" applyBorder="1" applyAlignment="1"/>
    <xf numFmtId="168" fontId="5" fillId="0" borderId="1" xfId="1" applyNumberFormat="1" applyFont="1" applyFill="1" applyBorder="1" applyAlignment="1"/>
    <xf numFmtId="0" fontId="13" fillId="0" borderId="72" xfId="0" applyNumberFormat="1" applyFont="1" applyFill="1" applyBorder="1" applyAlignment="1">
      <alignment horizontal="left"/>
    </xf>
    <xf numFmtId="165" fontId="13" fillId="0" borderId="73" xfId="0" applyNumberFormat="1" applyFont="1" applyFill="1" applyBorder="1" applyAlignment="1"/>
    <xf numFmtId="165" fontId="13" fillId="0" borderId="49" xfId="0" applyNumberFormat="1" applyFont="1" applyFill="1" applyBorder="1" applyAlignment="1"/>
    <xf numFmtId="0" fontId="1" fillId="0" borderId="0" xfId="0" applyFont="1" applyAlignment="1">
      <alignment vertical="top" wrapText="1"/>
    </xf>
    <xf numFmtId="0" fontId="0" fillId="0" borderId="0" xfId="0" applyAlignment="1"/>
    <xf numFmtId="0" fontId="6" fillId="4" borderId="15" xfId="0" applyNumberFormat="1" applyFont="1" applyFill="1" applyBorder="1" applyAlignment="1">
      <alignment horizontal="center" wrapText="1"/>
    </xf>
    <xf numFmtId="0" fontId="6" fillId="4" borderId="16" xfId="0" applyNumberFormat="1" applyFont="1" applyFill="1" applyBorder="1" applyAlignment="1">
      <alignment horizontal="center" wrapText="1"/>
    </xf>
    <xf numFmtId="0" fontId="6" fillId="4" borderId="17" xfId="0" applyNumberFormat="1" applyFont="1" applyFill="1" applyBorder="1" applyAlignment="1">
      <alignment horizontal="center" wrapText="1"/>
    </xf>
    <xf numFmtId="0" fontId="6" fillId="7" borderId="15" xfId="0" applyNumberFormat="1" applyFont="1" applyFill="1" applyBorder="1" applyAlignment="1">
      <alignment horizontal="center"/>
    </xf>
    <xf numFmtId="0" fontId="6" fillId="7" borderId="16" xfId="0" applyNumberFormat="1" applyFont="1" applyFill="1" applyBorder="1" applyAlignment="1">
      <alignment horizontal="center"/>
    </xf>
    <xf numFmtId="0" fontId="6" fillId="7" borderId="17" xfId="0" applyNumberFormat="1" applyFont="1" applyFill="1" applyBorder="1" applyAlignment="1">
      <alignment horizontal="center"/>
    </xf>
    <xf numFmtId="0" fontId="6" fillId="8" borderId="15" xfId="0" applyNumberFormat="1" applyFont="1" applyFill="1" applyBorder="1" applyAlignment="1">
      <alignment horizontal="center"/>
    </xf>
    <xf numFmtId="0" fontId="6" fillId="8" borderId="16" xfId="0" applyNumberFormat="1" applyFont="1" applyFill="1" applyBorder="1" applyAlignment="1">
      <alignment horizontal="center"/>
    </xf>
    <xf numFmtId="0" fontId="6" fillId="8" borderId="17" xfId="0" applyNumberFormat="1" applyFont="1" applyFill="1" applyBorder="1" applyAlignment="1">
      <alignment horizontal="center"/>
    </xf>
    <xf numFmtId="0" fontId="6" fillId="4" borderId="9" xfId="0" applyNumberFormat="1" applyFont="1" applyFill="1" applyBorder="1" applyAlignment="1">
      <alignment horizontal="center" vertical="center" wrapText="1"/>
    </xf>
    <xf numFmtId="0" fontId="6" fillId="4" borderId="79" xfId="0" applyNumberFormat="1" applyFont="1" applyFill="1" applyBorder="1" applyAlignment="1">
      <alignment horizontal="center" vertical="center" wrapText="1"/>
    </xf>
    <xf numFmtId="0" fontId="6" fillId="4" borderId="10" xfId="0" applyNumberFormat="1" applyFont="1" applyFill="1" applyBorder="1" applyAlignment="1">
      <alignment horizontal="center" vertical="center" wrapText="1"/>
    </xf>
    <xf numFmtId="0" fontId="6" fillId="4" borderId="22" xfId="0" applyNumberFormat="1" applyFont="1" applyFill="1" applyBorder="1" applyAlignment="1">
      <alignment horizontal="center" vertical="center" wrapText="1"/>
    </xf>
    <xf numFmtId="0" fontId="6" fillId="4" borderId="75" xfId="0" applyNumberFormat="1" applyFont="1" applyFill="1" applyBorder="1" applyAlignment="1">
      <alignment horizontal="center" vertical="center" wrapText="1"/>
    </xf>
    <xf numFmtId="0" fontId="6" fillId="4" borderId="23"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4" borderId="15" xfId="0" applyNumberFormat="1" applyFont="1" applyFill="1" applyBorder="1" applyAlignment="1">
      <alignment horizontal="center" vertical="center" wrapText="1"/>
    </xf>
    <xf numFmtId="0" fontId="6" fillId="4" borderId="17" xfId="0" applyNumberFormat="1" applyFont="1" applyFill="1" applyBorder="1" applyAlignment="1">
      <alignment horizontal="center" vertical="center" wrapText="1"/>
    </xf>
    <xf numFmtId="1" fontId="12" fillId="5" borderId="15" xfId="0" applyNumberFormat="1" applyFont="1" applyFill="1" applyBorder="1" applyAlignment="1">
      <alignment horizontal="center"/>
    </xf>
    <xf numFmtId="1" fontId="12" fillId="5" borderId="16" xfId="0" applyNumberFormat="1" applyFont="1" applyFill="1" applyBorder="1" applyAlignment="1">
      <alignment horizontal="center"/>
    </xf>
    <xf numFmtId="1" fontId="12" fillId="5" borderId="17" xfId="0" applyNumberFormat="1" applyFont="1" applyFill="1" applyBorder="1" applyAlignment="1">
      <alignment horizontal="center"/>
    </xf>
    <xf numFmtId="0" fontId="5" fillId="11" borderId="48" xfId="0" applyNumberFormat="1" applyFont="1" applyFill="1" applyBorder="1" applyAlignment="1">
      <alignment horizontal="center" vertical="center"/>
    </xf>
    <xf numFmtId="0" fontId="5" fillId="11" borderId="49" xfId="0" applyNumberFormat="1" applyFont="1" applyFill="1" applyBorder="1" applyAlignment="1">
      <alignment horizontal="center" vertical="center"/>
    </xf>
    <xf numFmtId="0" fontId="5" fillId="11" borderId="58" xfId="0" applyNumberFormat="1" applyFont="1" applyFill="1" applyBorder="1" applyAlignment="1">
      <alignment horizontal="center" vertical="center"/>
    </xf>
    <xf numFmtId="0" fontId="6" fillId="11" borderId="15" xfId="0" applyNumberFormat="1" applyFont="1" applyFill="1" applyBorder="1" applyAlignment="1">
      <alignment horizontal="center"/>
    </xf>
    <xf numFmtId="0" fontId="6" fillId="11" borderId="16" xfId="0" applyNumberFormat="1" applyFont="1" applyFill="1" applyBorder="1" applyAlignment="1">
      <alignment horizontal="center"/>
    </xf>
    <xf numFmtId="0" fontId="6" fillId="11" borderId="17" xfId="0" applyNumberFormat="1" applyFont="1" applyFill="1" applyBorder="1" applyAlignment="1">
      <alignment horizontal="center"/>
    </xf>
    <xf numFmtId="0" fontId="6" fillId="11" borderId="47" xfId="0" applyNumberFormat="1" applyFont="1" applyFill="1" applyBorder="1" applyAlignment="1">
      <alignment horizontal="center"/>
    </xf>
    <xf numFmtId="164" fontId="6" fillId="11" borderId="15" xfId="0" applyNumberFormat="1" applyFont="1" applyFill="1" applyBorder="1" applyAlignment="1">
      <alignment horizontal="center"/>
    </xf>
    <xf numFmtId="164" fontId="6" fillId="11" borderId="16" xfId="0" applyNumberFormat="1" applyFont="1" applyFill="1" applyBorder="1" applyAlignment="1">
      <alignment horizontal="center"/>
    </xf>
    <xf numFmtId="164" fontId="6" fillId="11" borderId="17" xfId="0" applyNumberFormat="1" applyFont="1" applyFill="1" applyBorder="1" applyAlignment="1">
      <alignment horizontal="center"/>
    </xf>
    <xf numFmtId="0" fontId="6" fillId="11" borderId="15" xfId="0" applyNumberFormat="1" applyFont="1" applyFill="1" applyBorder="1" applyAlignment="1">
      <alignment horizontal="center" vertical="center" wrapText="1"/>
    </xf>
    <xf numFmtId="0" fontId="6" fillId="11" borderId="17" xfId="0" applyNumberFormat="1" applyFont="1" applyFill="1" applyBorder="1" applyAlignment="1">
      <alignment horizontal="center" vertical="center" wrapText="1"/>
    </xf>
    <xf numFmtId="0" fontId="5" fillId="11" borderId="96" xfId="0" applyNumberFormat="1" applyFont="1" applyFill="1" applyBorder="1" applyAlignment="1">
      <alignment horizontal="center" vertical="center"/>
    </xf>
    <xf numFmtId="0" fontId="5" fillId="11" borderId="97" xfId="0" applyNumberFormat="1" applyFont="1" applyFill="1" applyBorder="1" applyAlignment="1">
      <alignment horizontal="center" vertical="center"/>
    </xf>
    <xf numFmtId="0" fontId="5" fillId="11" borderId="98" xfId="0" applyNumberFormat="1" applyFont="1" applyFill="1" applyBorder="1" applyAlignment="1">
      <alignment horizontal="center" vertical="center"/>
    </xf>
    <xf numFmtId="0" fontId="5" fillId="11" borderId="99" xfId="0" applyNumberFormat="1" applyFont="1" applyFill="1" applyBorder="1" applyAlignment="1">
      <alignment horizontal="center" vertical="center"/>
    </xf>
    <xf numFmtId="0" fontId="5" fillId="11" borderId="56" xfId="0" applyNumberFormat="1" applyFont="1" applyFill="1" applyBorder="1" applyAlignment="1">
      <alignment horizontal="center" vertical="center"/>
    </xf>
    <xf numFmtId="0" fontId="5" fillId="11" borderId="57" xfId="0" applyNumberFormat="1" applyFont="1" applyFill="1" applyBorder="1" applyAlignment="1">
      <alignment horizontal="center" vertical="center"/>
    </xf>
    <xf numFmtId="0" fontId="5" fillId="12" borderId="22" xfId="0" applyNumberFormat="1" applyFont="1" applyFill="1" applyBorder="1" applyAlignment="1">
      <alignment horizontal="left"/>
    </xf>
    <xf numFmtId="0" fontId="5" fillId="12" borderId="23" xfId="0" applyNumberFormat="1" applyFont="1" applyFill="1" applyBorder="1" applyAlignment="1">
      <alignment horizontal="left"/>
    </xf>
    <xf numFmtId="0" fontId="20" fillId="0" borderId="101"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000000"/>
      <rgbColor rgb="00F5F5F5"/>
      <rgbColor rgb="000000FF"/>
      <rgbColor rgb="00B8CCE4"/>
      <rgbColor rgb="00FFFFFF"/>
      <rgbColor rgb="00C0C0C0"/>
      <rgbColor rgb="00FFFF00"/>
      <rgbColor rgb="00EEECE1"/>
      <rgbColor rgb="00D8D8D8"/>
      <rgbColor rgb="00A5B6CA"/>
      <rgbColor rgb="00DBE5F1"/>
      <rgbColor rgb="00FFFF99"/>
      <rgbColor rgb="00FFFFCC"/>
      <rgbColor rgb="0066CCFF"/>
      <rgbColor rgb="00E5DFEC"/>
      <rgbColor rgb="007891B0"/>
      <rgbColor rgb="00B6DDE8"/>
      <rgbColor rgb="00FF0000"/>
      <rgbColor rgb="0092CDDC"/>
      <rgbColor rgb="0092D050"/>
      <rgbColor rgb="00FBD4B4"/>
      <rgbColor rgb="00FFC000"/>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3:D24"/>
  <sheetViews>
    <sheetView showGridLines="0" workbookViewId="0">
      <selection activeCell="A28" sqref="A28"/>
    </sheetView>
  </sheetViews>
  <sheetFormatPr defaultColWidth="11" defaultRowHeight="20.100000000000001" customHeight="1"/>
  <cols>
    <col min="1" max="1" width="2.125" customWidth="1"/>
    <col min="2" max="4" width="28.875" customWidth="1"/>
  </cols>
  <sheetData>
    <row r="3" spans="2:4" ht="50.1" customHeight="1">
      <c r="B3" s="622" t="s">
        <v>0</v>
      </c>
      <c r="C3" s="623"/>
      <c r="D3" s="623"/>
    </row>
    <row r="7" spans="2:4" ht="20.100000000000001" customHeight="1">
      <c r="B7" s="1" t="s">
        <v>1</v>
      </c>
      <c r="C7" s="1" t="s">
        <v>2</v>
      </c>
      <c r="D7" s="1" t="s">
        <v>3</v>
      </c>
    </row>
    <row r="9" spans="2:4" ht="20.100000000000001" customHeight="1">
      <c r="B9" s="2" t="s">
        <v>4</v>
      </c>
      <c r="C9" s="2"/>
      <c r="D9" s="2"/>
    </row>
    <row r="10" spans="2:4" ht="20.100000000000001" customHeight="1">
      <c r="B10" s="3"/>
      <c r="C10" s="3" t="s">
        <v>5</v>
      </c>
      <c r="D10" s="4" t="s">
        <v>6</v>
      </c>
    </row>
    <row r="11" spans="2:4" ht="20.100000000000001" customHeight="1">
      <c r="B11" s="2" t="s">
        <v>66</v>
      </c>
      <c r="C11" s="2"/>
      <c r="D11" s="2"/>
    </row>
    <row r="12" spans="2:4" ht="20.100000000000001" customHeight="1">
      <c r="B12" s="3"/>
      <c r="C12" s="3" t="s">
        <v>5</v>
      </c>
      <c r="D12" s="4" t="s">
        <v>67</v>
      </c>
    </row>
    <row r="13" spans="2:4" ht="20.100000000000001" customHeight="1">
      <c r="B13" s="2" t="s">
        <v>148</v>
      </c>
      <c r="C13" s="2"/>
      <c r="D13" s="2"/>
    </row>
    <row r="14" spans="2:4" ht="20.100000000000001" customHeight="1">
      <c r="B14" s="3"/>
      <c r="C14" s="3" t="s">
        <v>5</v>
      </c>
      <c r="D14" s="4" t="s">
        <v>149</v>
      </c>
    </row>
    <row r="15" spans="2:4" ht="20.100000000000001" customHeight="1">
      <c r="B15" s="2" t="s">
        <v>209</v>
      </c>
      <c r="C15" s="2"/>
      <c r="D15" s="2"/>
    </row>
    <row r="16" spans="2:4" ht="20.100000000000001" customHeight="1">
      <c r="B16" s="3"/>
      <c r="C16" s="3" t="s">
        <v>5</v>
      </c>
      <c r="D16" s="4" t="s">
        <v>210</v>
      </c>
    </row>
    <row r="17" spans="2:4" ht="20.100000000000001" customHeight="1">
      <c r="B17" s="2" t="s">
        <v>333</v>
      </c>
      <c r="C17" s="2"/>
      <c r="D17" s="2"/>
    </row>
    <row r="18" spans="2:4" ht="20.100000000000001" customHeight="1">
      <c r="B18" s="3"/>
      <c r="C18" s="3" t="s">
        <v>5</v>
      </c>
      <c r="D18" s="4" t="s">
        <v>334</v>
      </c>
    </row>
    <row r="19" spans="2:4" ht="20.100000000000001" customHeight="1">
      <c r="B19" s="2" t="s">
        <v>356</v>
      </c>
      <c r="C19" s="2"/>
      <c r="D19" s="2"/>
    </row>
    <row r="20" spans="2:4" ht="20.100000000000001" customHeight="1">
      <c r="B20" s="3"/>
      <c r="C20" s="3" t="s">
        <v>5</v>
      </c>
      <c r="D20" s="4" t="s">
        <v>357</v>
      </c>
    </row>
    <row r="21" spans="2:4" ht="20.100000000000001" customHeight="1">
      <c r="B21" s="2" t="s">
        <v>365</v>
      </c>
      <c r="C21" s="2"/>
      <c r="D21" s="2"/>
    </row>
    <row r="22" spans="2:4" ht="20.100000000000001" customHeight="1">
      <c r="B22" s="3"/>
      <c r="C22" s="3" t="s">
        <v>5</v>
      </c>
      <c r="D22" s="4" t="s">
        <v>366</v>
      </c>
    </row>
    <row r="23" spans="2:4" ht="20.100000000000001" customHeight="1">
      <c r="B23" s="2" t="s">
        <v>1578</v>
      </c>
      <c r="C23" s="2"/>
      <c r="D23" s="2"/>
    </row>
    <row r="24" spans="2:4" ht="20.100000000000001" customHeight="1">
      <c r="B24" s="3"/>
      <c r="C24" s="3" t="s">
        <v>5</v>
      </c>
      <c r="D24" s="4" t="s">
        <v>1579</v>
      </c>
    </row>
  </sheetData>
  <mergeCells count="1">
    <mergeCell ref="B3:D3"/>
  </mergeCells>
  <hyperlinks>
    <hyperlink ref="D10" location="'Data Entry - Table 1'!R1C1" display="Data Entry - Table 1"/>
    <hyperlink ref="D12" location="'Calculations - Table 1'!R1C1" display="Calculations - Table 1"/>
    <hyperlink ref="D14" location="'Revenue - Table 1'!R1C1" display="Revenue - Table 1"/>
    <hyperlink ref="D16" location="'Staffing Tool - Table 1'!R1C1" display="Staffing Tool - Table 1"/>
    <hyperlink ref="D18" location="'Non-Salary - Table 1'!R1C1" display="Non-Salary - Table 1"/>
    <hyperlink ref="D20" location="'Totals - Table 1'!R1C1" display="Totals - Table 1"/>
    <hyperlink ref="D22" location="'AVERAGE SALARY LOOKUP - Table 1'!R1C1" display="AVERAGE SALARY LOOKUP - Table 1"/>
    <hyperlink ref="D24" location="'INPUT SUMMARY - Table 1'!R1C1" display="INPUT SUMMARY - Table 1"/>
  </hyperlinks>
  <pageMargins left="0.75" right="0.75" top="1" bottom="1" header="0.5" footer="0.5"/>
  <pageSetup scale="95" orientation="landscape" r:id="rId1"/>
  <headerFooter alignWithMargins="0"/>
</worksheet>
</file>

<file path=xl/worksheets/sheet10.xml><?xml version="1.0" encoding="utf-8"?>
<worksheet xmlns="http://schemas.openxmlformats.org/spreadsheetml/2006/main" xmlns:r="http://schemas.openxmlformats.org/officeDocument/2006/relationships">
  <sheetPr>
    <tabColor rgb="FFFFFF00"/>
  </sheetPr>
  <dimension ref="A1:F8"/>
  <sheetViews>
    <sheetView showGridLines="0" workbookViewId="0">
      <selection activeCell="A12" sqref="A12"/>
    </sheetView>
  </sheetViews>
  <sheetFormatPr defaultRowHeight="14.25"/>
  <cols>
    <col min="1" max="1" width="25" bestFit="1" customWidth="1"/>
    <col min="2" max="6" width="13.5" customWidth="1"/>
  </cols>
  <sheetData>
    <row r="1" spans="1:6" s="554" customFormat="1"/>
    <row r="2" spans="1:6" s="554" customFormat="1" ht="15.75" thickBot="1">
      <c r="B2" s="665" t="s">
        <v>1832</v>
      </c>
      <c r="C2" s="665"/>
      <c r="D2" s="665"/>
      <c r="E2" s="665"/>
      <c r="F2" s="665"/>
    </row>
    <row r="3" spans="1:6" ht="15" thickBot="1">
      <c r="B3" s="326" t="s">
        <v>151</v>
      </c>
      <c r="C3" s="326" t="s">
        <v>152</v>
      </c>
      <c r="D3" s="326" t="s">
        <v>153</v>
      </c>
      <c r="E3" s="326" t="s">
        <v>154</v>
      </c>
      <c r="F3" s="326" t="s">
        <v>155</v>
      </c>
    </row>
    <row r="4" spans="1:6">
      <c r="A4" s="554" t="s">
        <v>1828</v>
      </c>
      <c r="B4" s="587">
        <f>'Totals - Table 1'!F6</f>
        <v>2450592.3838264002</v>
      </c>
      <c r="C4" s="588">
        <f>'Totals - Table 1'!G6</f>
        <v>3417829.9019928006</v>
      </c>
      <c r="D4" s="588">
        <f>'Totals - Table 1'!H6</f>
        <v>4212348.0687592002</v>
      </c>
      <c r="E4" s="588">
        <f>'Totals - Table 1'!I6</f>
        <v>4768381.4207859999</v>
      </c>
      <c r="F4" s="589">
        <f>'Totals - Table 1'!J6</f>
        <v>4804863.2762088599</v>
      </c>
    </row>
    <row r="5" spans="1:6">
      <c r="A5" s="554" t="s">
        <v>1830</v>
      </c>
      <c r="B5" s="590">
        <f>'Totals - Table 1'!F13</f>
        <v>2092631.3838263999</v>
      </c>
      <c r="C5" s="591">
        <f>'Totals - Table 1'!G13</f>
        <v>3116758.0419927998</v>
      </c>
      <c r="D5" s="591">
        <f>'Totals - Table 1'!H13</f>
        <v>3926319.7001592</v>
      </c>
      <c r="E5" s="591">
        <f>'Totals - Table 1'!I13</f>
        <v>4219196.8784999996</v>
      </c>
      <c r="F5" s="592">
        <f>'Totals - Table 1'!J13</f>
        <v>4252027.8784999996</v>
      </c>
    </row>
    <row r="6" spans="1:6">
      <c r="A6" s="554" t="s">
        <v>1829</v>
      </c>
      <c r="B6" s="590">
        <f>'Totals - Table 1'!F16</f>
        <v>336145</v>
      </c>
      <c r="C6" s="591">
        <f>'Totals - Table 1'!G16</f>
        <v>279038</v>
      </c>
      <c r="D6" s="591">
        <f>'Totals - Table 1'!H16</f>
        <v>263773</v>
      </c>
      <c r="E6" s="591">
        <f>'Totals - Table 1'!I16</f>
        <v>526708</v>
      </c>
      <c r="F6" s="592">
        <f>'Totals - Table 1'!J16</f>
        <v>530133</v>
      </c>
    </row>
    <row r="7" spans="1:6" ht="15" thickBot="1">
      <c r="A7" s="554" t="s">
        <v>1827</v>
      </c>
      <c r="B7" s="593">
        <f>'Totals - Table 1'!F17</f>
        <v>2450592.3838264002</v>
      </c>
      <c r="C7" s="594">
        <f>'Totals - Table 1'!G17</f>
        <v>3417830.0419927998</v>
      </c>
      <c r="D7" s="594">
        <f>'Totals - Table 1'!H17</f>
        <v>4212347.7001591995</v>
      </c>
      <c r="E7" s="594">
        <f>'Totals - Table 1'!I17</f>
        <v>4768381.8784999996</v>
      </c>
      <c r="F7" s="595">
        <f>'Totals - Table 1'!J17</f>
        <v>4804862.8784999996</v>
      </c>
    </row>
    <row r="8" spans="1:6" ht="15" thickBot="1">
      <c r="A8" s="554" t="s">
        <v>1831</v>
      </c>
      <c r="B8" s="606">
        <f>'Totals - Table 1'!F18</f>
        <v>0</v>
      </c>
      <c r="C8" s="606">
        <f>'Totals - Table 1'!G18</f>
        <v>-0.13999999919906259</v>
      </c>
      <c r="D8" s="606">
        <f>'Totals - Table 1'!H18</f>
        <v>0.36860000062733889</v>
      </c>
      <c r="E8" s="606">
        <f>'Totals - Table 1'!I18</f>
        <v>-0.45771399978548288</v>
      </c>
      <c r="F8" s="606">
        <f>'Totals - Table 1'!J18</f>
        <v>0.39770886022597551</v>
      </c>
    </row>
  </sheetData>
  <mergeCells count="1">
    <mergeCell ref="B2: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FFFF00"/>
  </sheetPr>
  <dimension ref="A1:HZ88"/>
  <sheetViews>
    <sheetView showGridLines="0" topLeftCell="C8" workbookViewId="0">
      <selection activeCell="H85" sqref="H85"/>
    </sheetView>
  </sheetViews>
  <sheetFormatPr defaultColWidth="11" defaultRowHeight="20.100000000000001" customHeight="1"/>
  <cols>
    <col min="1" max="1" width="10.75" style="5" hidden="1" customWidth="1"/>
    <col min="2" max="2" width="1.5" style="5" hidden="1" customWidth="1"/>
    <col min="3" max="3" width="1.5" style="5" customWidth="1"/>
    <col min="4" max="4" width="35.5" style="5" customWidth="1"/>
    <col min="5" max="9" width="12.75" style="5" customWidth="1"/>
    <col min="10" max="234" width="10.25" style="5" customWidth="1"/>
    <col min="235" max="16384" width="11" style="554"/>
  </cols>
  <sheetData>
    <row r="1" spans="1:9" ht="21.75" hidden="1" customHeight="1">
      <c r="A1" s="70"/>
      <c r="B1" s="99"/>
      <c r="C1" s="602"/>
      <c r="D1" s="556" t="s">
        <v>211</v>
      </c>
      <c r="E1" s="246"/>
      <c r="F1" s="246"/>
      <c r="G1" s="246"/>
      <c r="H1" s="246"/>
      <c r="I1" s="246"/>
    </row>
    <row r="2" spans="1:9" ht="15" hidden="1" thickBot="1">
      <c r="A2" s="70"/>
      <c r="B2" s="247"/>
      <c r="C2" s="602"/>
      <c r="D2" s="7" t="s">
        <v>212</v>
      </c>
      <c r="E2" s="248">
        <v>0.4</v>
      </c>
      <c r="F2" s="248">
        <v>0.4</v>
      </c>
      <c r="G2" s="248">
        <v>0.6</v>
      </c>
      <c r="H2" s="248">
        <v>0.8</v>
      </c>
      <c r="I2" s="248">
        <v>0.8</v>
      </c>
    </row>
    <row r="3" spans="1:9" ht="15" hidden="1" thickBot="1">
      <c r="A3" s="70"/>
      <c r="B3" s="247"/>
      <c r="C3" s="602"/>
      <c r="D3" s="7" t="s">
        <v>213</v>
      </c>
      <c r="E3" s="248">
        <v>1</v>
      </c>
      <c r="F3" s="248">
        <v>1</v>
      </c>
      <c r="G3" s="248">
        <v>1</v>
      </c>
      <c r="H3" s="248">
        <v>1</v>
      </c>
      <c r="I3" s="248">
        <v>1</v>
      </c>
    </row>
    <row r="4" spans="1:9" ht="15" hidden="1" thickBot="1">
      <c r="A4" s="70"/>
      <c r="B4" s="247"/>
      <c r="C4" s="602"/>
      <c r="D4" s="7" t="s">
        <v>214</v>
      </c>
      <c r="E4" s="248">
        <v>1</v>
      </c>
      <c r="F4" s="248">
        <v>2</v>
      </c>
      <c r="G4" s="248">
        <v>3</v>
      </c>
      <c r="H4" s="248">
        <v>4</v>
      </c>
      <c r="I4" s="248">
        <v>4</v>
      </c>
    </row>
    <row r="5" spans="1:9" ht="15" hidden="1" thickBot="1">
      <c r="A5" s="70"/>
      <c r="B5" s="247"/>
      <c r="C5" s="602"/>
      <c r="D5" s="7" t="s">
        <v>215</v>
      </c>
      <c r="E5" s="248">
        <v>0</v>
      </c>
      <c r="F5" s="248">
        <v>0</v>
      </c>
      <c r="G5" s="248">
        <v>0</v>
      </c>
      <c r="H5" s="248">
        <v>0</v>
      </c>
      <c r="I5" s="248">
        <v>0</v>
      </c>
    </row>
    <row r="6" spans="1:9" ht="22.5" hidden="1" customHeight="1">
      <c r="A6" s="70"/>
      <c r="B6" s="99"/>
      <c r="C6" s="602"/>
      <c r="D6" s="251" t="s">
        <v>216</v>
      </c>
      <c r="E6" s="248">
        <v>0</v>
      </c>
      <c r="F6" s="248">
        <v>0</v>
      </c>
      <c r="G6" s="248">
        <v>0</v>
      </c>
      <c r="H6" s="248">
        <v>0</v>
      </c>
      <c r="I6" s="248">
        <v>0</v>
      </c>
    </row>
    <row r="7" spans="1:9" ht="15.75" hidden="1" customHeight="1">
      <c r="A7" s="70"/>
      <c r="B7" s="99"/>
      <c r="C7" s="602"/>
      <c r="D7" s="253" t="s">
        <v>217</v>
      </c>
      <c r="E7" s="248">
        <v>0</v>
      </c>
      <c r="F7" s="248">
        <v>0</v>
      </c>
      <c r="G7" s="248">
        <v>0</v>
      </c>
      <c r="H7" s="248">
        <v>0</v>
      </c>
      <c r="I7" s="248">
        <v>0</v>
      </c>
    </row>
    <row r="8" spans="1:9" ht="11.25" customHeight="1">
      <c r="A8" s="256"/>
      <c r="B8" s="10"/>
      <c r="C8" s="386"/>
      <c r="D8" s="60"/>
      <c r="E8" s="259"/>
      <c r="F8" s="259"/>
      <c r="G8" s="259"/>
      <c r="H8" s="259"/>
      <c r="I8" s="259"/>
    </row>
    <row r="9" spans="1:9" ht="78.75" customHeight="1">
      <c r="A9" s="261" t="s">
        <v>218</v>
      </c>
      <c r="B9" s="262"/>
      <c r="C9" s="603"/>
      <c r="D9" s="557" t="s">
        <v>1833</v>
      </c>
      <c r="E9" s="266" t="s">
        <v>232</v>
      </c>
      <c r="F9" s="266" t="s">
        <v>234</v>
      </c>
      <c r="G9" s="266" t="s">
        <v>236</v>
      </c>
      <c r="H9" s="266" t="s">
        <v>238</v>
      </c>
      <c r="I9" s="266" t="s">
        <v>240</v>
      </c>
    </row>
    <row r="10" spans="1:9" ht="14.25">
      <c r="A10" s="269"/>
      <c r="B10" s="76"/>
      <c r="C10" s="604"/>
      <c r="D10" s="270"/>
      <c r="E10" s="272"/>
      <c r="F10" s="272"/>
      <c r="G10" s="272"/>
      <c r="H10" s="272"/>
      <c r="I10" s="272"/>
    </row>
    <row r="11" spans="1:9" ht="14.25">
      <c r="A11" s="70"/>
      <c r="B11" s="274"/>
      <c r="C11" s="600"/>
      <c r="D11" s="555" t="s">
        <v>242</v>
      </c>
      <c r="E11" s="266"/>
      <c r="F11" s="266"/>
      <c r="G11" s="266"/>
      <c r="H11" s="266"/>
      <c r="I11" s="266"/>
    </row>
    <row r="12" spans="1:9" ht="14.25">
      <c r="A12" s="70"/>
      <c r="B12" s="274"/>
      <c r="C12" s="605"/>
      <c r="D12" s="276" t="s">
        <v>243</v>
      </c>
      <c r="E12" s="596">
        <v>1440</v>
      </c>
      <c r="F12" s="596">
        <v>1440</v>
      </c>
      <c r="G12" s="596">
        <v>1440</v>
      </c>
      <c r="H12" s="596">
        <v>1440</v>
      </c>
      <c r="I12" s="596">
        <v>1440</v>
      </c>
    </row>
    <row r="13" spans="1:9" ht="14.25">
      <c r="A13" s="70"/>
      <c r="B13" s="274"/>
      <c r="C13" s="605"/>
      <c r="D13" s="276" t="s">
        <v>243</v>
      </c>
      <c r="E13" s="596">
        <v>0</v>
      </c>
      <c r="F13" s="596">
        <v>0</v>
      </c>
      <c r="G13" s="596">
        <v>0</v>
      </c>
      <c r="H13" s="596">
        <v>0</v>
      </c>
      <c r="I13" s="596">
        <v>0</v>
      </c>
    </row>
    <row r="14" spans="1:9" ht="14.25">
      <c r="A14" s="70"/>
      <c r="B14" s="274"/>
      <c r="C14" s="605"/>
      <c r="D14" s="276" t="s">
        <v>243</v>
      </c>
      <c r="E14" s="596">
        <v>0</v>
      </c>
      <c r="F14" s="596">
        <v>0</v>
      </c>
      <c r="G14" s="596">
        <v>0</v>
      </c>
      <c r="H14" s="596">
        <v>0</v>
      </c>
      <c r="I14" s="596">
        <v>0</v>
      </c>
    </row>
    <row r="15" spans="1:9" ht="15" thickBot="1">
      <c r="A15" s="70"/>
      <c r="B15" s="274"/>
      <c r="C15" s="605"/>
      <c r="D15" s="283" t="s">
        <v>243</v>
      </c>
      <c r="E15" s="597">
        <v>0</v>
      </c>
      <c r="F15" s="597">
        <v>0</v>
      </c>
      <c r="G15" s="597">
        <v>0</v>
      </c>
      <c r="H15" s="597">
        <v>0</v>
      </c>
      <c r="I15" s="597">
        <v>0</v>
      </c>
    </row>
    <row r="16" spans="1:9" ht="15" thickBot="1">
      <c r="A16" s="70"/>
      <c r="B16" s="112"/>
      <c r="C16" s="600"/>
      <c r="D16" s="289" t="s">
        <v>244</v>
      </c>
      <c r="E16" s="296">
        <v>1440</v>
      </c>
      <c r="F16" s="296">
        <v>1440</v>
      </c>
      <c r="G16" s="296">
        <v>1440</v>
      </c>
      <c r="H16" s="296">
        <v>1440</v>
      </c>
      <c r="I16" s="296">
        <v>1440</v>
      </c>
    </row>
    <row r="17" spans="1:9" ht="14.25">
      <c r="A17" s="70"/>
      <c r="B17" s="10"/>
      <c r="C17" s="386"/>
      <c r="D17" s="60"/>
      <c r="E17" s="299"/>
      <c r="F17" s="299"/>
      <c r="G17" s="299"/>
      <c r="H17" s="299"/>
      <c r="I17" s="299"/>
    </row>
    <row r="18" spans="1:9" ht="14.25">
      <c r="A18" s="70"/>
      <c r="B18" s="274"/>
      <c r="C18" s="600"/>
      <c r="D18" s="555" t="s">
        <v>245</v>
      </c>
      <c r="E18" s="267"/>
      <c r="F18" s="267"/>
      <c r="G18" s="267"/>
      <c r="H18" s="267"/>
      <c r="I18" s="267"/>
    </row>
    <row r="19" spans="1:9" ht="14.25">
      <c r="A19" s="300" t="s">
        <v>246</v>
      </c>
      <c r="B19" s="274"/>
      <c r="C19" s="605"/>
      <c r="D19" s="276" t="s">
        <v>247</v>
      </c>
      <c r="E19" s="596">
        <v>1</v>
      </c>
      <c r="F19" s="596">
        <v>1</v>
      </c>
      <c r="G19" s="596">
        <v>1</v>
      </c>
      <c r="H19" s="596">
        <v>1</v>
      </c>
      <c r="I19" s="596">
        <v>1</v>
      </c>
    </row>
    <row r="20" spans="1:9" ht="14.25">
      <c r="A20" s="300" t="s">
        <v>248</v>
      </c>
      <c r="B20" s="274"/>
      <c r="C20" s="605"/>
      <c r="D20" s="276" t="s">
        <v>249</v>
      </c>
      <c r="E20" s="596">
        <v>10</v>
      </c>
      <c r="F20" s="596">
        <v>23</v>
      </c>
      <c r="G20" s="596">
        <v>31</v>
      </c>
      <c r="H20" s="596">
        <v>34</v>
      </c>
      <c r="I20" s="596">
        <v>34</v>
      </c>
    </row>
    <row r="21" spans="1:9" ht="14.25">
      <c r="A21" s="300" t="s">
        <v>248</v>
      </c>
      <c r="B21" s="274"/>
      <c r="C21" s="605"/>
      <c r="D21" s="276" t="s">
        <v>250</v>
      </c>
      <c r="E21" s="596"/>
      <c r="F21" s="596"/>
      <c r="G21" s="596"/>
      <c r="H21" s="596"/>
      <c r="I21" s="596"/>
    </row>
    <row r="22" spans="1:9" ht="14.25">
      <c r="A22" s="300" t="s">
        <v>251</v>
      </c>
      <c r="B22" s="274"/>
      <c r="C22" s="605"/>
      <c r="D22" s="276" t="s">
        <v>252</v>
      </c>
      <c r="E22" s="596">
        <v>0</v>
      </c>
      <c r="F22" s="596">
        <v>0</v>
      </c>
      <c r="G22" s="596">
        <v>0</v>
      </c>
      <c r="H22" s="596">
        <v>0</v>
      </c>
      <c r="I22" s="596">
        <v>0</v>
      </c>
    </row>
    <row r="23" spans="1:9" ht="14.25">
      <c r="A23" s="300" t="s">
        <v>253</v>
      </c>
      <c r="B23" s="274"/>
      <c r="C23" s="605"/>
      <c r="D23" s="276" t="s">
        <v>254</v>
      </c>
      <c r="E23" s="598">
        <v>1</v>
      </c>
      <c r="F23" s="598">
        <v>2</v>
      </c>
      <c r="G23" s="598">
        <v>3</v>
      </c>
      <c r="H23" s="598">
        <v>3.5</v>
      </c>
      <c r="I23" s="598">
        <v>3.5</v>
      </c>
    </row>
    <row r="24" spans="1:9" ht="14.25">
      <c r="A24" s="300" t="s">
        <v>248</v>
      </c>
      <c r="B24" s="274"/>
      <c r="C24" s="605"/>
      <c r="D24" s="276" t="s">
        <v>255</v>
      </c>
      <c r="E24" s="596">
        <v>0</v>
      </c>
      <c r="F24" s="596">
        <v>0</v>
      </c>
      <c r="G24" s="596">
        <v>0</v>
      </c>
      <c r="H24" s="596">
        <v>0</v>
      </c>
      <c r="I24" s="596">
        <v>0</v>
      </c>
    </row>
    <row r="25" spans="1:9" ht="14.25">
      <c r="A25" s="300" t="s">
        <v>248</v>
      </c>
      <c r="B25" s="274"/>
      <c r="C25" s="605"/>
      <c r="D25" s="276" t="s">
        <v>256</v>
      </c>
      <c r="E25" s="596"/>
      <c r="F25" s="596">
        <v>0</v>
      </c>
      <c r="G25" s="596">
        <v>0</v>
      </c>
      <c r="H25" s="596">
        <v>0</v>
      </c>
      <c r="I25" s="596">
        <v>0</v>
      </c>
    </row>
    <row r="26" spans="1:9" ht="14.25">
      <c r="A26" s="300" t="s">
        <v>257</v>
      </c>
      <c r="B26" s="274"/>
      <c r="C26" s="605"/>
      <c r="D26" s="276" t="s">
        <v>258</v>
      </c>
      <c r="E26" s="596"/>
      <c r="F26" s="596">
        <v>0</v>
      </c>
      <c r="G26" s="596"/>
      <c r="H26" s="596"/>
      <c r="I26" s="596"/>
    </row>
    <row r="27" spans="1:9" ht="14.25">
      <c r="A27" s="300" t="s">
        <v>259</v>
      </c>
      <c r="B27" s="274"/>
      <c r="C27" s="605"/>
      <c r="D27" s="276" t="s">
        <v>260</v>
      </c>
      <c r="E27" s="596">
        <v>0</v>
      </c>
      <c r="F27" s="596">
        <v>0</v>
      </c>
      <c r="G27" s="596">
        <v>0</v>
      </c>
      <c r="H27" s="596">
        <v>0</v>
      </c>
      <c r="I27" s="596">
        <v>0</v>
      </c>
    </row>
    <row r="28" spans="1:9" ht="14.25">
      <c r="A28" s="300" t="s">
        <v>261</v>
      </c>
      <c r="B28" s="274"/>
      <c r="C28" s="605"/>
      <c r="D28" s="276" t="s">
        <v>262</v>
      </c>
      <c r="E28" s="596">
        <v>0</v>
      </c>
      <c r="F28" s="596"/>
      <c r="G28" s="596"/>
      <c r="H28" s="596"/>
      <c r="I28" s="596"/>
    </row>
    <row r="29" spans="1:9" ht="14.25">
      <c r="A29" s="300" t="s">
        <v>263</v>
      </c>
      <c r="B29" s="274"/>
      <c r="C29" s="605"/>
      <c r="D29" s="276" t="s">
        <v>264</v>
      </c>
      <c r="E29" s="596">
        <v>0</v>
      </c>
      <c r="F29" s="596">
        <v>0</v>
      </c>
      <c r="G29" s="596">
        <v>1</v>
      </c>
      <c r="H29" s="596">
        <v>1</v>
      </c>
      <c r="I29" s="596">
        <v>1</v>
      </c>
    </row>
    <row r="30" spans="1:9" ht="14.25">
      <c r="A30" s="300" t="s">
        <v>265</v>
      </c>
      <c r="B30" s="274"/>
      <c r="C30" s="605"/>
      <c r="D30" s="276" t="s">
        <v>266</v>
      </c>
      <c r="E30" s="596">
        <v>0.4</v>
      </c>
      <c r="F30" s="596">
        <v>1</v>
      </c>
      <c r="G30" s="596">
        <v>1</v>
      </c>
      <c r="H30" s="596">
        <v>1</v>
      </c>
      <c r="I30" s="596">
        <v>1</v>
      </c>
    </row>
    <row r="31" spans="1:9" ht="14.25">
      <c r="A31" s="300" t="s">
        <v>267</v>
      </c>
      <c r="B31" s="274"/>
      <c r="C31" s="605"/>
      <c r="D31" s="276" t="s">
        <v>268</v>
      </c>
      <c r="E31" s="596">
        <v>0.2</v>
      </c>
      <c r="F31" s="596">
        <v>0.4</v>
      </c>
      <c r="G31" s="596">
        <v>0.6</v>
      </c>
      <c r="H31" s="596">
        <v>0.6</v>
      </c>
      <c r="I31" s="596">
        <v>0.6</v>
      </c>
    </row>
    <row r="32" spans="1:9" ht="14.25">
      <c r="A32" s="300" t="s">
        <v>269</v>
      </c>
      <c r="B32" s="274"/>
      <c r="C32" s="605"/>
      <c r="D32" s="276" t="s">
        <v>270</v>
      </c>
      <c r="E32" s="596"/>
      <c r="F32" s="596"/>
      <c r="G32" s="596"/>
      <c r="H32" s="596"/>
      <c r="I32" s="596"/>
    </row>
    <row r="33" spans="1:9" ht="14.25">
      <c r="A33" s="300" t="s">
        <v>271</v>
      </c>
      <c r="B33" s="274"/>
      <c r="C33" s="605"/>
      <c r="D33" s="276" t="s">
        <v>272</v>
      </c>
      <c r="E33" s="596">
        <v>0</v>
      </c>
      <c r="F33" s="596">
        <v>0</v>
      </c>
      <c r="G33" s="596">
        <v>0</v>
      </c>
      <c r="H33" s="596">
        <v>0</v>
      </c>
      <c r="I33" s="596">
        <v>0</v>
      </c>
    </row>
    <row r="34" spans="1:9" ht="15" thickBot="1">
      <c r="A34" s="300" t="s">
        <v>273</v>
      </c>
      <c r="B34" s="274"/>
      <c r="C34" s="605"/>
      <c r="D34" s="276" t="s">
        <v>274</v>
      </c>
      <c r="E34" s="597"/>
      <c r="F34" s="597"/>
      <c r="G34" s="597"/>
      <c r="H34" s="597"/>
      <c r="I34" s="597"/>
    </row>
    <row r="35" spans="1:9" ht="15" thickBot="1">
      <c r="A35" s="70"/>
      <c r="B35" s="274"/>
      <c r="C35" s="600"/>
      <c r="D35" s="16" t="s">
        <v>275</v>
      </c>
      <c r="E35" s="296">
        <v>12.6</v>
      </c>
      <c r="F35" s="296">
        <v>27.4</v>
      </c>
      <c r="G35" s="296">
        <v>37.6</v>
      </c>
      <c r="H35" s="296">
        <v>41.1</v>
      </c>
      <c r="I35" s="296">
        <v>41.1</v>
      </c>
    </row>
    <row r="36" spans="1:9" ht="14.25">
      <c r="A36" s="70"/>
      <c r="B36" s="76"/>
      <c r="C36" s="604"/>
      <c r="D36" s="270"/>
      <c r="E36" s="311"/>
      <c r="F36" s="311"/>
      <c r="G36" s="311"/>
      <c r="H36" s="311"/>
      <c r="I36" s="311"/>
    </row>
    <row r="37" spans="1:9" ht="14.25">
      <c r="A37" s="70"/>
      <c r="B37" s="274"/>
      <c r="C37" s="600"/>
      <c r="D37" s="555" t="s">
        <v>276</v>
      </c>
      <c r="E37" s="267"/>
      <c r="F37" s="267"/>
      <c r="G37" s="267"/>
      <c r="H37" s="267"/>
      <c r="I37" s="267"/>
    </row>
    <row r="38" spans="1:9" ht="14.25">
      <c r="A38" s="300" t="s">
        <v>277</v>
      </c>
      <c r="B38" s="274"/>
      <c r="C38" s="605"/>
      <c r="D38" s="312" t="s">
        <v>278</v>
      </c>
      <c r="E38" s="596">
        <v>0</v>
      </c>
      <c r="F38" s="596">
        <v>0</v>
      </c>
      <c r="G38" s="596">
        <v>0</v>
      </c>
      <c r="H38" s="596">
        <v>0</v>
      </c>
      <c r="I38" s="596">
        <v>0</v>
      </c>
    </row>
    <row r="39" spans="1:9" ht="14.25">
      <c r="A39" s="300" t="s">
        <v>279</v>
      </c>
      <c r="B39" s="274"/>
      <c r="C39" s="605"/>
      <c r="D39" s="312" t="s">
        <v>280</v>
      </c>
      <c r="E39" s="596">
        <v>0</v>
      </c>
      <c r="F39" s="596">
        <v>0</v>
      </c>
      <c r="G39" s="596">
        <v>0</v>
      </c>
      <c r="H39" s="596">
        <v>0</v>
      </c>
      <c r="I39" s="596">
        <v>0</v>
      </c>
    </row>
    <row r="40" spans="1:9" ht="14.25">
      <c r="A40" s="300" t="s">
        <v>281</v>
      </c>
      <c r="B40" s="274"/>
      <c r="C40" s="605"/>
      <c r="D40" s="312" t="s">
        <v>282</v>
      </c>
      <c r="E40" s="596">
        <v>0</v>
      </c>
      <c r="F40" s="596">
        <v>0</v>
      </c>
      <c r="G40" s="596">
        <v>0</v>
      </c>
      <c r="H40" s="596">
        <v>0</v>
      </c>
      <c r="I40" s="596">
        <v>0</v>
      </c>
    </row>
    <row r="41" spans="1:9" ht="14.25">
      <c r="A41" s="300" t="s">
        <v>283</v>
      </c>
      <c r="B41" s="274"/>
      <c r="C41" s="605"/>
      <c r="D41" s="312" t="s">
        <v>284</v>
      </c>
      <c r="E41" s="598">
        <v>1</v>
      </c>
      <c r="F41" s="596">
        <v>0</v>
      </c>
      <c r="G41" s="596">
        <v>0</v>
      </c>
      <c r="H41" s="596">
        <v>0</v>
      </c>
      <c r="I41" s="596">
        <v>0</v>
      </c>
    </row>
    <row r="42" spans="1:9" ht="14.25">
      <c r="A42" s="300" t="s">
        <v>285</v>
      </c>
      <c r="B42" s="274"/>
      <c r="C42" s="605"/>
      <c r="D42" s="312" t="s">
        <v>286</v>
      </c>
      <c r="E42" s="596">
        <v>0</v>
      </c>
      <c r="F42" s="596">
        <v>0</v>
      </c>
      <c r="G42" s="596">
        <v>0</v>
      </c>
      <c r="H42" s="596">
        <v>0</v>
      </c>
      <c r="I42" s="596">
        <v>0</v>
      </c>
    </row>
    <row r="43" spans="1:9" ht="14.25">
      <c r="A43" s="300" t="s">
        <v>287</v>
      </c>
      <c r="B43" s="274"/>
      <c r="C43" s="605"/>
      <c r="D43" s="312" t="s">
        <v>288</v>
      </c>
      <c r="E43" s="596">
        <v>0</v>
      </c>
      <c r="F43" s="596">
        <v>0</v>
      </c>
      <c r="G43" s="596">
        <v>0</v>
      </c>
      <c r="H43" s="596">
        <v>0</v>
      </c>
      <c r="I43" s="596">
        <v>0</v>
      </c>
    </row>
    <row r="44" spans="1:9" ht="14.25">
      <c r="A44" s="300" t="s">
        <v>289</v>
      </c>
      <c r="B44" s="274"/>
      <c r="C44" s="605"/>
      <c r="D44" s="312" t="s">
        <v>290</v>
      </c>
      <c r="E44" s="596">
        <v>0</v>
      </c>
      <c r="F44" s="596">
        <v>0</v>
      </c>
      <c r="G44" s="596">
        <v>0</v>
      </c>
      <c r="H44" s="596">
        <v>0</v>
      </c>
      <c r="I44" s="596">
        <v>0</v>
      </c>
    </row>
    <row r="45" spans="1:9" ht="14.25">
      <c r="A45" s="300" t="s">
        <v>291</v>
      </c>
      <c r="B45" s="274"/>
      <c r="C45" s="605"/>
      <c r="D45" s="312" t="s">
        <v>292</v>
      </c>
      <c r="E45" s="596">
        <v>0</v>
      </c>
      <c r="F45" s="596">
        <v>0</v>
      </c>
      <c r="G45" s="596">
        <v>0</v>
      </c>
      <c r="H45" s="596">
        <v>0</v>
      </c>
      <c r="I45" s="596">
        <v>0</v>
      </c>
    </row>
    <row r="46" spans="1:9" ht="14.25">
      <c r="A46" s="300" t="s">
        <v>293</v>
      </c>
      <c r="B46" s="274"/>
      <c r="C46" s="605"/>
      <c r="D46" s="312" t="s">
        <v>294</v>
      </c>
      <c r="E46" s="596">
        <v>0</v>
      </c>
      <c r="F46" s="596">
        <v>0</v>
      </c>
      <c r="G46" s="596">
        <v>0</v>
      </c>
      <c r="H46" s="596">
        <v>0</v>
      </c>
      <c r="I46" s="596">
        <v>0</v>
      </c>
    </row>
    <row r="47" spans="1:9" ht="14.25">
      <c r="A47" s="300" t="s">
        <v>295</v>
      </c>
      <c r="B47" s="274"/>
      <c r="C47" s="605"/>
      <c r="D47" s="312" t="s">
        <v>296</v>
      </c>
      <c r="E47" s="596">
        <v>0</v>
      </c>
      <c r="F47" s="596">
        <v>0</v>
      </c>
      <c r="G47" s="596">
        <v>0</v>
      </c>
      <c r="H47" s="596">
        <v>0</v>
      </c>
      <c r="I47" s="596">
        <v>0</v>
      </c>
    </row>
    <row r="48" spans="1:9" ht="14.25">
      <c r="A48" s="300" t="s">
        <v>297</v>
      </c>
      <c r="B48" s="274"/>
      <c r="C48" s="605"/>
      <c r="D48" s="312" t="s">
        <v>298</v>
      </c>
      <c r="E48" s="596">
        <v>0</v>
      </c>
      <c r="F48" s="596">
        <v>0</v>
      </c>
      <c r="G48" s="596">
        <v>0</v>
      </c>
      <c r="H48" s="596">
        <v>0</v>
      </c>
      <c r="I48" s="596">
        <v>0</v>
      </c>
    </row>
    <row r="49" spans="1:9" ht="14.25">
      <c r="A49" s="300" t="s">
        <v>299</v>
      </c>
      <c r="B49" s="274"/>
      <c r="C49" s="605"/>
      <c r="D49" s="312" t="s">
        <v>300</v>
      </c>
      <c r="E49" s="596">
        <v>1</v>
      </c>
      <c r="F49" s="596">
        <v>1</v>
      </c>
      <c r="G49" s="596">
        <v>1</v>
      </c>
      <c r="H49" s="596">
        <v>1</v>
      </c>
      <c r="I49" s="596">
        <v>1</v>
      </c>
    </row>
    <row r="50" spans="1:9" ht="14.25">
      <c r="A50" s="300"/>
      <c r="B50" s="274"/>
      <c r="C50" s="600"/>
      <c r="D50" s="560" t="s">
        <v>1820</v>
      </c>
      <c r="E50" s="596">
        <v>19</v>
      </c>
      <c r="F50" s="596">
        <v>19</v>
      </c>
      <c r="G50" s="596">
        <v>19</v>
      </c>
      <c r="H50" s="596">
        <v>19</v>
      </c>
      <c r="I50" s="596">
        <v>19</v>
      </c>
    </row>
    <row r="51" spans="1:9" ht="14.25">
      <c r="A51" s="300"/>
      <c r="B51" s="274"/>
      <c r="C51" s="600"/>
      <c r="D51" s="560" t="s">
        <v>1821</v>
      </c>
      <c r="E51" s="596">
        <v>1</v>
      </c>
      <c r="F51" s="596">
        <v>1</v>
      </c>
      <c r="G51" s="596">
        <v>1</v>
      </c>
      <c r="H51" s="596">
        <v>1</v>
      </c>
      <c r="I51" s="596">
        <v>1</v>
      </c>
    </row>
    <row r="52" spans="1:9" ht="14.25">
      <c r="A52" s="70"/>
      <c r="B52" s="274"/>
      <c r="C52" s="600"/>
      <c r="D52" s="16" t="s">
        <v>301</v>
      </c>
      <c r="E52" s="314">
        <f>SUM(E38:E51)</f>
        <v>22</v>
      </c>
      <c r="F52" s="314">
        <f t="shared" ref="F52:I52" si="0">SUM(F38:F51)</f>
        <v>21</v>
      </c>
      <c r="G52" s="314">
        <f t="shared" si="0"/>
        <v>21</v>
      </c>
      <c r="H52" s="314">
        <f t="shared" si="0"/>
        <v>21</v>
      </c>
      <c r="I52" s="314">
        <f t="shared" si="0"/>
        <v>21</v>
      </c>
    </row>
    <row r="53" spans="1:9" ht="14.25">
      <c r="A53" s="70"/>
      <c r="B53" s="76"/>
      <c r="C53" s="604"/>
      <c r="D53" s="270"/>
      <c r="E53" s="273"/>
      <c r="F53" s="273"/>
      <c r="G53" s="273"/>
      <c r="H53" s="273"/>
      <c r="I53" s="273"/>
    </row>
    <row r="54" spans="1:9" ht="14.25">
      <c r="A54" s="70"/>
      <c r="B54" s="274"/>
      <c r="C54" s="600"/>
      <c r="D54" s="555" t="s">
        <v>302</v>
      </c>
      <c r="E54" s="267"/>
      <c r="F54" s="267"/>
      <c r="G54" s="267"/>
      <c r="H54" s="267"/>
      <c r="I54" s="267"/>
    </row>
    <row r="55" spans="1:9" ht="14.25">
      <c r="A55" s="300" t="s">
        <v>62</v>
      </c>
      <c r="B55" s="274"/>
      <c r="C55" s="605"/>
      <c r="D55" s="276" t="s">
        <v>45</v>
      </c>
      <c r="E55" s="596">
        <v>1</v>
      </c>
      <c r="F55" s="596">
        <v>1</v>
      </c>
      <c r="G55" s="596">
        <v>1</v>
      </c>
      <c r="H55" s="596">
        <v>1</v>
      </c>
      <c r="I55" s="596">
        <v>1</v>
      </c>
    </row>
    <row r="56" spans="1:9" ht="14.25">
      <c r="A56" s="300" t="s">
        <v>63</v>
      </c>
      <c r="B56" s="274"/>
      <c r="C56" s="605"/>
      <c r="D56" s="276" t="s">
        <v>303</v>
      </c>
      <c r="E56" s="596">
        <v>1</v>
      </c>
      <c r="F56" s="596">
        <v>1</v>
      </c>
      <c r="G56" s="596">
        <v>1</v>
      </c>
      <c r="H56" s="596">
        <v>1</v>
      </c>
      <c r="I56" s="596">
        <v>1</v>
      </c>
    </row>
    <row r="57" spans="1:9" ht="14.25">
      <c r="A57" s="300" t="s">
        <v>64</v>
      </c>
      <c r="B57" s="274"/>
      <c r="C57" s="605"/>
      <c r="D57" s="276" t="s">
        <v>304</v>
      </c>
      <c r="E57" s="596">
        <v>0</v>
      </c>
      <c r="F57" s="596"/>
      <c r="G57" s="596"/>
      <c r="H57" s="596"/>
      <c r="I57" s="596"/>
    </row>
    <row r="58" spans="1:9" ht="14.25">
      <c r="A58" s="300" t="s">
        <v>61</v>
      </c>
      <c r="B58" s="274"/>
      <c r="C58" s="605"/>
      <c r="D58" s="276" t="s">
        <v>48</v>
      </c>
      <c r="E58" s="596">
        <v>1</v>
      </c>
      <c r="F58" s="596">
        <v>1</v>
      </c>
      <c r="G58" s="596">
        <v>1</v>
      </c>
      <c r="H58" s="596">
        <v>1</v>
      </c>
      <c r="I58" s="596">
        <v>1</v>
      </c>
    </row>
    <row r="59" spans="1:9" ht="14.25">
      <c r="A59" s="70"/>
      <c r="B59" s="274"/>
      <c r="C59" s="600"/>
      <c r="D59" s="16" t="s">
        <v>305</v>
      </c>
      <c r="E59" s="314">
        <v>3</v>
      </c>
      <c r="F59" s="314">
        <v>3</v>
      </c>
      <c r="G59" s="314">
        <v>3</v>
      </c>
      <c r="H59" s="314">
        <v>3</v>
      </c>
      <c r="I59" s="314">
        <v>3</v>
      </c>
    </row>
    <row r="60" spans="1:9" ht="14.25">
      <c r="A60" s="70"/>
      <c r="B60" s="76"/>
      <c r="C60" s="604"/>
      <c r="D60" s="270"/>
      <c r="E60" s="273"/>
      <c r="F60" s="273"/>
      <c r="G60" s="273"/>
      <c r="H60" s="273"/>
      <c r="I60" s="273"/>
    </row>
    <row r="61" spans="1:9" ht="14.25">
      <c r="A61" s="70"/>
      <c r="B61" s="274"/>
      <c r="C61" s="600"/>
      <c r="D61" s="555" t="s">
        <v>306</v>
      </c>
      <c r="E61" s="267"/>
      <c r="F61" s="267"/>
      <c r="G61" s="267"/>
      <c r="H61" s="267"/>
      <c r="I61" s="267"/>
    </row>
    <row r="62" spans="1:9" ht="14.25">
      <c r="A62" s="300" t="s">
        <v>307</v>
      </c>
      <c r="B62" s="274"/>
      <c r="C62" s="605"/>
      <c r="D62" s="276" t="s">
        <v>308</v>
      </c>
      <c r="E62" s="596"/>
      <c r="F62" s="596"/>
      <c r="G62" s="596"/>
      <c r="H62" s="596"/>
      <c r="I62" s="596"/>
    </row>
    <row r="63" spans="1:9" ht="14.25">
      <c r="A63" s="300" t="s">
        <v>309</v>
      </c>
      <c r="B63" s="274"/>
      <c r="C63" s="605"/>
      <c r="D63" s="276" t="s">
        <v>310</v>
      </c>
      <c r="E63" s="596"/>
      <c r="F63" s="596"/>
      <c r="G63" s="596"/>
      <c r="H63" s="596"/>
      <c r="I63" s="596"/>
    </row>
    <row r="64" spans="1:9" ht="14.25">
      <c r="A64" s="300" t="s">
        <v>311</v>
      </c>
      <c r="B64" s="274"/>
      <c r="C64" s="605"/>
      <c r="D64" s="276" t="s">
        <v>312</v>
      </c>
      <c r="E64" s="596"/>
      <c r="F64" s="596"/>
      <c r="G64" s="596"/>
      <c r="H64" s="596"/>
      <c r="I64" s="596">
        <v>0</v>
      </c>
    </row>
    <row r="65" spans="1:10" ht="14.25">
      <c r="A65" s="300" t="s">
        <v>313</v>
      </c>
      <c r="B65" s="274"/>
      <c r="C65" s="605"/>
      <c r="D65" s="276" t="s">
        <v>314</v>
      </c>
      <c r="E65" s="596">
        <v>0</v>
      </c>
      <c r="F65" s="596"/>
      <c r="G65" s="596">
        <v>0</v>
      </c>
      <c r="H65" s="596">
        <v>0</v>
      </c>
      <c r="I65" s="596">
        <v>0</v>
      </c>
    </row>
    <row r="66" spans="1:10" ht="14.25">
      <c r="A66" s="300" t="s">
        <v>315</v>
      </c>
      <c r="B66" s="274"/>
      <c r="C66" s="605"/>
      <c r="D66" s="276" t="s">
        <v>316</v>
      </c>
      <c r="E66" s="596">
        <v>0</v>
      </c>
      <c r="F66" s="596">
        <v>0</v>
      </c>
      <c r="G66" s="596">
        <v>0</v>
      </c>
      <c r="H66" s="596">
        <v>0</v>
      </c>
      <c r="I66" s="596">
        <v>0</v>
      </c>
    </row>
    <row r="67" spans="1:10" ht="14.25">
      <c r="A67" s="300" t="s">
        <v>317</v>
      </c>
      <c r="B67" s="274"/>
      <c r="C67" s="605"/>
      <c r="D67" s="276" t="s">
        <v>318</v>
      </c>
      <c r="E67" s="596">
        <v>0</v>
      </c>
      <c r="F67" s="596">
        <v>0</v>
      </c>
      <c r="G67" s="596">
        <v>0</v>
      </c>
      <c r="H67" s="596">
        <v>0</v>
      </c>
      <c r="I67" s="596">
        <v>0</v>
      </c>
    </row>
    <row r="68" spans="1:10" ht="14.25">
      <c r="A68" s="300" t="s">
        <v>319</v>
      </c>
      <c r="B68" s="274"/>
      <c r="C68" s="605"/>
      <c r="D68" s="276" t="s">
        <v>320</v>
      </c>
      <c r="E68" s="596">
        <v>1</v>
      </c>
      <c r="F68" s="596">
        <v>1</v>
      </c>
      <c r="G68" s="596">
        <v>1</v>
      </c>
      <c r="H68" s="596">
        <v>1</v>
      </c>
      <c r="I68" s="596">
        <v>1</v>
      </c>
    </row>
    <row r="69" spans="1:10" ht="14.25">
      <c r="A69" s="300" t="s">
        <v>321</v>
      </c>
      <c r="B69" s="274"/>
      <c r="C69" s="605"/>
      <c r="D69" s="276" t="s">
        <v>322</v>
      </c>
      <c r="E69" s="596">
        <v>0</v>
      </c>
      <c r="F69" s="596">
        <v>0</v>
      </c>
      <c r="G69" s="596">
        <v>0</v>
      </c>
      <c r="H69" s="596">
        <v>0</v>
      </c>
      <c r="I69" s="596">
        <v>0</v>
      </c>
    </row>
    <row r="70" spans="1:10" ht="14.25">
      <c r="A70" s="300" t="s">
        <v>323</v>
      </c>
      <c r="B70" s="274"/>
      <c r="C70" s="605"/>
      <c r="D70" s="276" t="s">
        <v>324</v>
      </c>
      <c r="E70" s="596">
        <v>0</v>
      </c>
      <c r="F70" s="596">
        <v>0</v>
      </c>
      <c r="G70" s="596">
        <v>0</v>
      </c>
      <c r="H70" s="596">
        <v>0</v>
      </c>
      <c r="I70" s="596">
        <v>0</v>
      </c>
    </row>
    <row r="71" spans="1:10" ht="14.25">
      <c r="A71" s="300" t="s">
        <v>325</v>
      </c>
      <c r="B71" s="274"/>
      <c r="C71" s="605"/>
      <c r="D71" s="276" t="s">
        <v>326</v>
      </c>
      <c r="E71" s="596"/>
      <c r="F71" s="596"/>
      <c r="G71" s="596">
        <v>1</v>
      </c>
      <c r="H71" s="596">
        <v>1</v>
      </c>
      <c r="I71" s="596">
        <v>1</v>
      </c>
    </row>
    <row r="72" spans="1:10" ht="14.25">
      <c r="A72" s="300" t="s">
        <v>327</v>
      </c>
      <c r="B72" s="274"/>
      <c r="C72" s="605"/>
      <c r="D72" s="276" t="s">
        <v>328</v>
      </c>
      <c r="E72" s="596"/>
      <c r="F72" s="596"/>
      <c r="G72" s="596"/>
      <c r="H72" s="596"/>
      <c r="I72" s="596"/>
    </row>
    <row r="73" spans="1:10" ht="14.25">
      <c r="A73" s="300" t="s">
        <v>329</v>
      </c>
      <c r="B73" s="274"/>
      <c r="C73" s="605"/>
      <c r="D73" s="276" t="s">
        <v>330</v>
      </c>
      <c r="E73" s="596">
        <v>0</v>
      </c>
      <c r="F73" s="596">
        <v>0</v>
      </c>
      <c r="G73" s="596">
        <v>0</v>
      </c>
      <c r="H73" s="596">
        <v>0</v>
      </c>
      <c r="I73" s="596">
        <v>0</v>
      </c>
    </row>
    <row r="74" spans="1:10" ht="14.25">
      <c r="A74" s="70"/>
      <c r="B74" s="274"/>
      <c r="C74" s="600"/>
      <c r="D74" s="16" t="s">
        <v>331</v>
      </c>
      <c r="E74" s="314">
        <v>1</v>
      </c>
      <c r="F74" s="314">
        <v>1</v>
      </c>
      <c r="G74" s="314">
        <v>2</v>
      </c>
      <c r="H74" s="314">
        <v>2</v>
      </c>
      <c r="I74" s="314">
        <v>2</v>
      </c>
    </row>
    <row r="75" spans="1:10" ht="15" thickBot="1">
      <c r="A75" s="70"/>
      <c r="B75" s="76"/>
      <c r="C75" s="604"/>
      <c r="D75" s="315"/>
      <c r="E75" s="317"/>
      <c r="F75" s="317"/>
      <c r="G75" s="317"/>
      <c r="H75" s="317"/>
      <c r="I75" s="317"/>
    </row>
    <row r="76" spans="1:10" ht="15" thickBot="1">
      <c r="A76" s="70"/>
      <c r="B76" s="112"/>
      <c r="C76" s="600"/>
      <c r="D76" s="289" t="s">
        <v>332</v>
      </c>
      <c r="E76" s="296">
        <v>18.600000000000001</v>
      </c>
      <c r="F76" s="296">
        <v>32.4</v>
      </c>
      <c r="G76" s="296">
        <v>43.6</v>
      </c>
      <c r="H76" s="296">
        <v>47.1</v>
      </c>
      <c r="I76" s="296">
        <v>47.1</v>
      </c>
    </row>
    <row r="77" spans="1:10" ht="14.25">
      <c r="A77" s="70"/>
      <c r="B77" s="599"/>
      <c r="C77" s="600"/>
      <c r="D77" s="600"/>
      <c r="E77" s="601"/>
      <c r="F77" s="601"/>
      <c r="G77" s="601"/>
      <c r="H77" s="601"/>
      <c r="I77" s="601"/>
      <c r="J77" s="577"/>
    </row>
    <row r="78" spans="1:10" ht="14.25">
      <c r="A78" s="70"/>
      <c r="B78" s="599"/>
      <c r="C78" s="600"/>
      <c r="D78" s="600"/>
      <c r="E78" s="601"/>
      <c r="F78" s="601"/>
      <c r="G78" s="601"/>
      <c r="H78" s="601"/>
      <c r="I78" s="601"/>
      <c r="J78" s="577"/>
    </row>
    <row r="79" spans="1:10" ht="14.25">
      <c r="A79" s="70"/>
      <c r="B79" s="599"/>
      <c r="C79" s="600"/>
      <c r="D79" s="600"/>
      <c r="E79" s="601"/>
      <c r="F79" s="601"/>
      <c r="G79" s="601"/>
      <c r="H79" s="601"/>
      <c r="I79" s="601"/>
      <c r="J79" s="577"/>
    </row>
    <row r="80" spans="1:10" ht="14.25">
      <c r="A80" s="70"/>
      <c r="B80" s="599"/>
      <c r="C80" s="600"/>
      <c r="D80" s="600"/>
      <c r="E80" s="601"/>
      <c r="F80" s="601"/>
      <c r="G80" s="601"/>
      <c r="H80" s="601"/>
      <c r="I80" s="601"/>
      <c r="J80" s="577"/>
    </row>
    <row r="81" spans="1:10" ht="14.25">
      <c r="A81" s="70"/>
      <c r="B81" s="599"/>
      <c r="C81" s="600"/>
      <c r="D81" s="600"/>
      <c r="E81" s="601"/>
      <c r="F81" s="601"/>
      <c r="G81" s="601"/>
      <c r="H81" s="601"/>
      <c r="I81" s="601"/>
      <c r="J81" s="577"/>
    </row>
    <row r="82" spans="1:10" ht="14.25">
      <c r="A82" s="70"/>
      <c r="B82" s="599"/>
      <c r="C82" s="600"/>
      <c r="D82" s="600"/>
      <c r="E82" s="601"/>
      <c r="F82" s="601"/>
      <c r="G82" s="601"/>
      <c r="H82" s="601"/>
      <c r="I82" s="601"/>
      <c r="J82" s="577"/>
    </row>
    <row r="83" spans="1:10" ht="14.25">
      <c r="A83" s="70"/>
      <c r="B83" s="599"/>
      <c r="C83" s="600"/>
      <c r="D83" s="600"/>
      <c r="E83" s="601"/>
      <c r="F83" s="601"/>
      <c r="G83" s="601"/>
      <c r="H83" s="601"/>
      <c r="I83" s="601"/>
      <c r="J83" s="577"/>
    </row>
    <row r="84" spans="1:10" ht="14.25">
      <c r="A84" s="70"/>
      <c r="B84" s="599"/>
      <c r="C84" s="600"/>
      <c r="D84" s="600"/>
      <c r="E84" s="601"/>
      <c r="F84" s="601"/>
      <c r="G84" s="601"/>
      <c r="H84" s="601"/>
      <c r="I84" s="601"/>
      <c r="J84" s="577"/>
    </row>
    <row r="85" spans="1:10" ht="14.25">
      <c r="A85" s="70"/>
      <c r="B85" s="599"/>
      <c r="C85" s="600"/>
      <c r="D85" s="600"/>
      <c r="E85" s="601"/>
      <c r="F85" s="601"/>
      <c r="G85" s="601"/>
      <c r="H85" s="601"/>
      <c r="I85" s="601"/>
      <c r="J85" s="577"/>
    </row>
    <row r="86" spans="1:10" ht="14.25">
      <c r="A86" s="70"/>
      <c r="B86" s="599"/>
      <c r="C86" s="600"/>
      <c r="D86" s="600"/>
      <c r="E86" s="601"/>
      <c r="F86" s="601"/>
      <c r="G86" s="601"/>
      <c r="H86" s="601"/>
      <c r="I86" s="601"/>
      <c r="J86" s="577"/>
    </row>
    <row r="87" spans="1:10" ht="20.100000000000001" customHeight="1">
      <c r="D87" s="577"/>
      <c r="E87" s="577"/>
      <c r="F87" s="577"/>
      <c r="G87" s="577"/>
      <c r="H87" s="577"/>
      <c r="I87" s="577"/>
      <c r="J87" s="577"/>
    </row>
    <row r="88" spans="1:10" ht="20.100000000000001" customHeight="1">
      <c r="D88" s="577"/>
      <c r="E88" s="577"/>
      <c r="F88" s="577"/>
      <c r="G88" s="577"/>
      <c r="H88" s="577"/>
      <c r="I88" s="577"/>
      <c r="J88" s="57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IW57"/>
  <sheetViews>
    <sheetView showGridLines="0" tabSelected="1" view="pageBreakPreview" zoomScale="60" zoomScaleNormal="100" workbookViewId="0">
      <selection activeCell="G63" sqref="G63"/>
    </sheetView>
  </sheetViews>
  <sheetFormatPr defaultColWidth="11" defaultRowHeight="20.100000000000001" customHeight="1"/>
  <cols>
    <col min="1" max="1" width="1.25" style="607" customWidth="1"/>
    <col min="2" max="2" width="13" style="5" customWidth="1"/>
    <col min="3" max="3" width="13.625" style="5" customWidth="1"/>
    <col min="4" max="10" width="10" style="5" customWidth="1"/>
    <col min="11" max="11" width="9.875" style="5" customWidth="1"/>
    <col min="12" max="12" width="8.875" style="5" customWidth="1"/>
    <col min="13" max="15" width="7.625" style="5" customWidth="1"/>
    <col min="16" max="257" width="10.25" style="5" customWidth="1"/>
  </cols>
  <sheetData>
    <row r="1" spans="2:257" s="607" customFormat="1" ht="7.5" customHeight="1">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row>
    <row r="2" spans="2:257" ht="14.25">
      <c r="B2" s="6" t="s">
        <v>7</v>
      </c>
      <c r="C2" s="617" t="s">
        <v>8</v>
      </c>
      <c r="D2" s="22"/>
      <c r="E2" s="10"/>
      <c r="F2" s="22"/>
      <c r="G2" s="10"/>
      <c r="H2" s="10"/>
      <c r="I2" s="10"/>
      <c r="J2" s="10"/>
      <c r="K2" s="10"/>
      <c r="L2" s="10"/>
      <c r="M2" s="10"/>
      <c r="N2" s="10"/>
      <c r="O2" s="10"/>
    </row>
    <row r="3" spans="2:257" ht="14.25">
      <c r="B3" s="6" t="s">
        <v>9</v>
      </c>
      <c r="C3" s="12" t="s">
        <v>10</v>
      </c>
      <c r="D3" s="616"/>
      <c r="E3" s="390"/>
      <c r="F3" s="10"/>
      <c r="G3" s="10"/>
      <c r="H3" s="10"/>
      <c r="I3" s="10"/>
      <c r="J3" s="10"/>
      <c r="K3" s="10"/>
      <c r="L3" s="10"/>
      <c r="M3" s="10"/>
      <c r="N3" s="10"/>
      <c r="O3" s="10"/>
    </row>
    <row r="4" spans="2:257" ht="14.25">
      <c r="B4" s="14"/>
      <c r="C4" s="8"/>
      <c r="D4" s="15"/>
      <c r="E4" s="15"/>
      <c r="F4" s="15"/>
      <c r="G4" s="15"/>
      <c r="H4" s="15"/>
      <c r="I4" s="15"/>
      <c r="J4" s="15"/>
      <c r="K4" s="10"/>
      <c r="L4" s="10"/>
      <c r="M4" s="10"/>
      <c r="N4" s="10"/>
      <c r="O4" s="10"/>
    </row>
    <row r="5" spans="2:257" ht="14.25">
      <c r="B5" s="16" t="s">
        <v>11</v>
      </c>
      <c r="C5" s="17"/>
      <c r="D5" s="18"/>
      <c r="E5" s="18">
        <v>0</v>
      </c>
      <c r="F5" s="18">
        <v>0.01</v>
      </c>
      <c r="G5" s="18">
        <v>0.01</v>
      </c>
      <c r="H5" s="18">
        <v>0.01</v>
      </c>
      <c r="I5" s="18">
        <v>0.01</v>
      </c>
      <c r="J5" s="18">
        <v>0.01</v>
      </c>
      <c r="K5" s="11"/>
      <c r="L5" s="10"/>
      <c r="M5" s="10"/>
      <c r="N5" s="10"/>
      <c r="O5" s="10"/>
    </row>
    <row r="6" spans="2:257" ht="14.25">
      <c r="B6" s="16" t="s">
        <v>12</v>
      </c>
      <c r="C6" s="17"/>
      <c r="D6" s="19">
        <f>261584+25000+11828</f>
        <v>298412</v>
      </c>
      <c r="E6" s="19">
        <f>346196-114085-65944-12270-3431+4800</f>
        <v>155266</v>
      </c>
      <c r="F6" s="19">
        <f>42220-25000+114085+65944-11828+3431</f>
        <v>188852</v>
      </c>
      <c r="G6" s="19">
        <f>50000-42530</f>
        <v>7470</v>
      </c>
      <c r="H6" s="19">
        <v>0</v>
      </c>
      <c r="I6" s="19">
        <v>0</v>
      </c>
      <c r="J6" s="19">
        <v>0</v>
      </c>
      <c r="K6" s="20"/>
      <c r="L6" s="21"/>
      <c r="M6" s="10"/>
      <c r="N6" s="10"/>
      <c r="O6" s="10"/>
    </row>
    <row r="7" spans="2:257" s="613" customFormat="1" ht="14.25">
      <c r="B7" s="608" t="s">
        <v>13</v>
      </c>
      <c r="C7" s="609"/>
      <c r="D7" s="618">
        <v>10000</v>
      </c>
      <c r="E7" s="618">
        <v>10000</v>
      </c>
      <c r="F7" s="618"/>
      <c r="G7" s="618"/>
      <c r="H7" s="618">
        <f t="shared" ref="H7:H8" si="0">SUM(H5:H6)</f>
        <v>0.01</v>
      </c>
      <c r="I7" s="618">
        <f t="shared" ref="I7:I8" si="1">SUM(I5:I6)</f>
        <v>0.01</v>
      </c>
      <c r="J7" s="618">
        <f t="shared" ref="J7:J8" si="2">SUM(J5:J6)</f>
        <v>0.01</v>
      </c>
      <c r="K7" s="610"/>
      <c r="L7" s="611"/>
      <c r="M7" s="611"/>
      <c r="N7" s="611"/>
      <c r="O7" s="611"/>
      <c r="P7" s="612"/>
      <c r="Q7" s="612"/>
      <c r="R7" s="612"/>
      <c r="S7" s="612"/>
      <c r="T7" s="612"/>
      <c r="U7" s="612"/>
      <c r="V7" s="612"/>
      <c r="W7" s="612"/>
      <c r="X7" s="612"/>
      <c r="Y7" s="612"/>
      <c r="Z7" s="612"/>
      <c r="AA7" s="612"/>
      <c r="AB7" s="612"/>
      <c r="AC7" s="612"/>
      <c r="AD7" s="612"/>
      <c r="AE7" s="612"/>
      <c r="AF7" s="612"/>
      <c r="AG7" s="612"/>
      <c r="AH7" s="612"/>
      <c r="AI7" s="612"/>
      <c r="AJ7" s="612"/>
      <c r="AK7" s="612"/>
      <c r="AL7" s="612"/>
      <c r="AM7" s="612"/>
      <c r="AN7" s="612"/>
      <c r="AO7" s="612"/>
      <c r="AP7" s="612"/>
      <c r="AQ7" s="612"/>
      <c r="AR7" s="612"/>
      <c r="AS7" s="612"/>
      <c r="AT7" s="612"/>
      <c r="AU7" s="612"/>
      <c r="AV7" s="612"/>
      <c r="AW7" s="612"/>
      <c r="AX7" s="612"/>
      <c r="AY7" s="612"/>
      <c r="AZ7" s="612"/>
      <c r="BA7" s="612"/>
      <c r="BB7" s="612"/>
      <c r="BC7" s="612"/>
      <c r="BD7" s="612"/>
      <c r="BE7" s="612"/>
      <c r="BF7" s="612"/>
      <c r="BG7" s="612"/>
      <c r="BH7" s="612"/>
      <c r="BI7" s="612"/>
      <c r="BJ7" s="612"/>
      <c r="BK7" s="612"/>
      <c r="BL7" s="612"/>
      <c r="BM7" s="612"/>
      <c r="BN7" s="612"/>
      <c r="BO7" s="612"/>
      <c r="BP7" s="612"/>
      <c r="BQ7" s="612"/>
      <c r="BR7" s="612"/>
      <c r="BS7" s="612"/>
      <c r="BT7" s="612"/>
      <c r="BU7" s="612"/>
      <c r="BV7" s="612"/>
      <c r="BW7" s="612"/>
      <c r="BX7" s="612"/>
      <c r="BY7" s="612"/>
      <c r="BZ7" s="612"/>
      <c r="CA7" s="612"/>
      <c r="CB7" s="612"/>
      <c r="CC7" s="612"/>
      <c r="CD7" s="612"/>
      <c r="CE7" s="612"/>
      <c r="CF7" s="612"/>
      <c r="CG7" s="612"/>
      <c r="CH7" s="612"/>
      <c r="CI7" s="612"/>
      <c r="CJ7" s="612"/>
      <c r="CK7" s="612"/>
      <c r="CL7" s="612"/>
      <c r="CM7" s="612"/>
      <c r="CN7" s="612"/>
      <c r="CO7" s="612"/>
      <c r="CP7" s="612"/>
      <c r="CQ7" s="612"/>
      <c r="CR7" s="612"/>
      <c r="CS7" s="612"/>
      <c r="CT7" s="612"/>
      <c r="CU7" s="612"/>
      <c r="CV7" s="612"/>
      <c r="CW7" s="612"/>
      <c r="CX7" s="612"/>
      <c r="CY7" s="612"/>
      <c r="CZ7" s="612"/>
      <c r="DA7" s="612"/>
      <c r="DB7" s="612"/>
      <c r="DC7" s="612"/>
      <c r="DD7" s="612"/>
      <c r="DE7" s="612"/>
      <c r="DF7" s="612"/>
      <c r="DG7" s="612"/>
      <c r="DH7" s="612"/>
      <c r="DI7" s="612"/>
      <c r="DJ7" s="612"/>
      <c r="DK7" s="612"/>
      <c r="DL7" s="612"/>
      <c r="DM7" s="612"/>
      <c r="DN7" s="612"/>
      <c r="DO7" s="612"/>
      <c r="DP7" s="612"/>
      <c r="DQ7" s="612"/>
      <c r="DR7" s="612"/>
      <c r="DS7" s="612"/>
      <c r="DT7" s="612"/>
      <c r="DU7" s="612"/>
      <c r="DV7" s="612"/>
      <c r="DW7" s="612"/>
      <c r="DX7" s="612"/>
      <c r="DY7" s="612"/>
      <c r="DZ7" s="612"/>
      <c r="EA7" s="612"/>
      <c r="EB7" s="612"/>
      <c r="EC7" s="612"/>
      <c r="ED7" s="612"/>
      <c r="EE7" s="612"/>
      <c r="EF7" s="612"/>
      <c r="EG7" s="612"/>
      <c r="EH7" s="612"/>
      <c r="EI7" s="612"/>
      <c r="EJ7" s="612"/>
      <c r="EK7" s="612"/>
      <c r="EL7" s="612"/>
      <c r="EM7" s="612"/>
      <c r="EN7" s="612"/>
      <c r="EO7" s="612"/>
      <c r="EP7" s="612"/>
      <c r="EQ7" s="612"/>
      <c r="ER7" s="612"/>
      <c r="ES7" s="612"/>
      <c r="ET7" s="612"/>
      <c r="EU7" s="612"/>
      <c r="EV7" s="612"/>
      <c r="EW7" s="612"/>
      <c r="EX7" s="612"/>
      <c r="EY7" s="612"/>
      <c r="EZ7" s="612"/>
      <c r="FA7" s="612"/>
      <c r="FB7" s="612"/>
      <c r="FC7" s="612"/>
      <c r="FD7" s="612"/>
      <c r="FE7" s="612"/>
      <c r="FF7" s="612"/>
      <c r="FG7" s="612"/>
      <c r="FH7" s="612"/>
      <c r="FI7" s="612"/>
      <c r="FJ7" s="612"/>
      <c r="FK7" s="612"/>
      <c r="FL7" s="612"/>
      <c r="FM7" s="612"/>
      <c r="FN7" s="612"/>
      <c r="FO7" s="612"/>
      <c r="FP7" s="612"/>
      <c r="FQ7" s="612"/>
      <c r="FR7" s="612"/>
      <c r="FS7" s="612"/>
      <c r="FT7" s="612"/>
      <c r="FU7" s="612"/>
      <c r="FV7" s="612"/>
      <c r="FW7" s="612"/>
      <c r="FX7" s="612"/>
      <c r="FY7" s="612"/>
      <c r="FZ7" s="612"/>
      <c r="GA7" s="612"/>
      <c r="GB7" s="612"/>
      <c r="GC7" s="612"/>
      <c r="GD7" s="612"/>
      <c r="GE7" s="612"/>
      <c r="GF7" s="612"/>
      <c r="GG7" s="612"/>
      <c r="GH7" s="612"/>
      <c r="GI7" s="612"/>
      <c r="GJ7" s="612"/>
      <c r="GK7" s="612"/>
      <c r="GL7" s="612"/>
      <c r="GM7" s="612"/>
      <c r="GN7" s="612"/>
      <c r="GO7" s="612"/>
      <c r="GP7" s="612"/>
      <c r="GQ7" s="612"/>
      <c r="GR7" s="612"/>
      <c r="GS7" s="612"/>
      <c r="GT7" s="612"/>
      <c r="GU7" s="612"/>
      <c r="GV7" s="612"/>
      <c r="GW7" s="612"/>
      <c r="GX7" s="612"/>
      <c r="GY7" s="612"/>
      <c r="GZ7" s="612"/>
      <c r="HA7" s="612"/>
      <c r="HB7" s="612"/>
      <c r="HC7" s="612"/>
      <c r="HD7" s="612"/>
      <c r="HE7" s="612"/>
      <c r="HF7" s="612"/>
      <c r="HG7" s="612"/>
      <c r="HH7" s="612"/>
      <c r="HI7" s="612"/>
      <c r="HJ7" s="612"/>
      <c r="HK7" s="612"/>
      <c r="HL7" s="612"/>
      <c r="HM7" s="612"/>
      <c r="HN7" s="612"/>
      <c r="HO7" s="612"/>
      <c r="HP7" s="612"/>
      <c r="HQ7" s="612"/>
      <c r="HR7" s="612"/>
      <c r="HS7" s="612"/>
      <c r="HT7" s="612"/>
      <c r="HU7" s="612"/>
      <c r="HV7" s="612"/>
      <c r="HW7" s="612"/>
      <c r="HX7" s="612"/>
      <c r="HY7" s="612"/>
      <c r="HZ7" s="612"/>
      <c r="IA7" s="612"/>
      <c r="IB7" s="612"/>
      <c r="IC7" s="612"/>
      <c r="ID7" s="612"/>
      <c r="IE7" s="612"/>
      <c r="IF7" s="612"/>
      <c r="IG7" s="612"/>
      <c r="IH7" s="612"/>
      <c r="II7" s="612"/>
      <c r="IJ7" s="612"/>
      <c r="IK7" s="612"/>
      <c r="IL7" s="612"/>
      <c r="IM7" s="612"/>
      <c r="IN7" s="612"/>
      <c r="IO7" s="612"/>
      <c r="IP7" s="612"/>
      <c r="IQ7" s="612"/>
      <c r="IR7" s="612"/>
      <c r="IS7" s="612"/>
      <c r="IT7" s="612"/>
      <c r="IU7" s="612"/>
      <c r="IV7" s="612"/>
      <c r="IW7" s="612"/>
    </row>
    <row r="8" spans="2:257" s="613" customFormat="1" ht="14.25">
      <c r="B8" s="614" t="s">
        <v>14</v>
      </c>
      <c r="C8" s="615"/>
      <c r="D8" s="618">
        <v>0</v>
      </c>
      <c r="E8" s="618">
        <v>234334</v>
      </c>
      <c r="F8" s="618">
        <v>65666</v>
      </c>
      <c r="G8" s="618">
        <v>0</v>
      </c>
      <c r="H8" s="618">
        <f t="shared" si="0"/>
        <v>0.01</v>
      </c>
      <c r="I8" s="618">
        <f t="shared" si="1"/>
        <v>0.01</v>
      </c>
      <c r="J8" s="618">
        <f t="shared" si="2"/>
        <v>0.01</v>
      </c>
      <c r="K8" s="610"/>
      <c r="L8" s="611"/>
      <c r="M8" s="611"/>
      <c r="N8" s="611"/>
      <c r="O8" s="611"/>
      <c r="P8" s="612"/>
      <c r="Q8" s="612"/>
      <c r="R8" s="612"/>
      <c r="S8" s="612"/>
      <c r="T8" s="612"/>
      <c r="U8" s="612"/>
      <c r="V8" s="612"/>
      <c r="W8" s="612"/>
      <c r="X8" s="612"/>
      <c r="Y8" s="612"/>
      <c r="Z8" s="612"/>
      <c r="AA8" s="612"/>
      <c r="AB8" s="612"/>
      <c r="AC8" s="612"/>
      <c r="AD8" s="612"/>
      <c r="AE8" s="612"/>
      <c r="AF8" s="612"/>
      <c r="AG8" s="612"/>
      <c r="AH8" s="612"/>
      <c r="AI8" s="612"/>
      <c r="AJ8" s="612"/>
      <c r="AK8" s="612"/>
      <c r="AL8" s="612"/>
      <c r="AM8" s="612"/>
      <c r="AN8" s="612"/>
      <c r="AO8" s="612"/>
      <c r="AP8" s="612"/>
      <c r="AQ8" s="612"/>
      <c r="AR8" s="612"/>
      <c r="AS8" s="612"/>
      <c r="AT8" s="612"/>
      <c r="AU8" s="612"/>
      <c r="AV8" s="612"/>
      <c r="AW8" s="612"/>
      <c r="AX8" s="612"/>
      <c r="AY8" s="612"/>
      <c r="AZ8" s="612"/>
      <c r="BA8" s="612"/>
      <c r="BB8" s="612"/>
      <c r="BC8" s="612"/>
      <c r="BD8" s="612"/>
      <c r="BE8" s="612"/>
      <c r="BF8" s="612"/>
      <c r="BG8" s="612"/>
      <c r="BH8" s="612"/>
      <c r="BI8" s="612"/>
      <c r="BJ8" s="612"/>
      <c r="BK8" s="612"/>
      <c r="BL8" s="612"/>
      <c r="BM8" s="612"/>
      <c r="BN8" s="612"/>
      <c r="BO8" s="612"/>
      <c r="BP8" s="612"/>
      <c r="BQ8" s="612"/>
      <c r="BR8" s="612"/>
      <c r="BS8" s="612"/>
      <c r="BT8" s="612"/>
      <c r="BU8" s="612"/>
      <c r="BV8" s="612"/>
      <c r="BW8" s="612"/>
      <c r="BX8" s="612"/>
      <c r="BY8" s="612"/>
      <c r="BZ8" s="612"/>
      <c r="CA8" s="612"/>
      <c r="CB8" s="612"/>
      <c r="CC8" s="612"/>
      <c r="CD8" s="612"/>
      <c r="CE8" s="612"/>
      <c r="CF8" s="612"/>
      <c r="CG8" s="612"/>
      <c r="CH8" s="612"/>
      <c r="CI8" s="612"/>
      <c r="CJ8" s="612"/>
      <c r="CK8" s="612"/>
      <c r="CL8" s="612"/>
      <c r="CM8" s="612"/>
      <c r="CN8" s="612"/>
      <c r="CO8" s="612"/>
      <c r="CP8" s="612"/>
      <c r="CQ8" s="612"/>
      <c r="CR8" s="612"/>
      <c r="CS8" s="612"/>
      <c r="CT8" s="612"/>
      <c r="CU8" s="612"/>
      <c r="CV8" s="612"/>
      <c r="CW8" s="612"/>
      <c r="CX8" s="612"/>
      <c r="CY8" s="612"/>
      <c r="CZ8" s="612"/>
      <c r="DA8" s="612"/>
      <c r="DB8" s="612"/>
      <c r="DC8" s="612"/>
      <c r="DD8" s="612"/>
      <c r="DE8" s="612"/>
      <c r="DF8" s="612"/>
      <c r="DG8" s="612"/>
      <c r="DH8" s="612"/>
      <c r="DI8" s="612"/>
      <c r="DJ8" s="612"/>
      <c r="DK8" s="612"/>
      <c r="DL8" s="612"/>
      <c r="DM8" s="612"/>
      <c r="DN8" s="612"/>
      <c r="DO8" s="612"/>
      <c r="DP8" s="612"/>
      <c r="DQ8" s="612"/>
      <c r="DR8" s="612"/>
      <c r="DS8" s="612"/>
      <c r="DT8" s="612"/>
      <c r="DU8" s="612"/>
      <c r="DV8" s="612"/>
      <c r="DW8" s="612"/>
      <c r="DX8" s="612"/>
      <c r="DY8" s="612"/>
      <c r="DZ8" s="612"/>
      <c r="EA8" s="612"/>
      <c r="EB8" s="612"/>
      <c r="EC8" s="612"/>
      <c r="ED8" s="612"/>
      <c r="EE8" s="612"/>
      <c r="EF8" s="612"/>
      <c r="EG8" s="612"/>
      <c r="EH8" s="612"/>
      <c r="EI8" s="612"/>
      <c r="EJ8" s="612"/>
      <c r="EK8" s="612"/>
      <c r="EL8" s="612"/>
      <c r="EM8" s="612"/>
      <c r="EN8" s="612"/>
      <c r="EO8" s="612"/>
      <c r="EP8" s="612"/>
      <c r="EQ8" s="612"/>
      <c r="ER8" s="612"/>
      <c r="ES8" s="612"/>
      <c r="ET8" s="612"/>
      <c r="EU8" s="612"/>
      <c r="EV8" s="612"/>
      <c r="EW8" s="612"/>
      <c r="EX8" s="612"/>
      <c r="EY8" s="612"/>
      <c r="EZ8" s="612"/>
      <c r="FA8" s="612"/>
      <c r="FB8" s="612"/>
      <c r="FC8" s="612"/>
      <c r="FD8" s="612"/>
      <c r="FE8" s="612"/>
      <c r="FF8" s="612"/>
      <c r="FG8" s="612"/>
      <c r="FH8" s="612"/>
      <c r="FI8" s="612"/>
      <c r="FJ8" s="612"/>
      <c r="FK8" s="612"/>
      <c r="FL8" s="612"/>
      <c r="FM8" s="612"/>
      <c r="FN8" s="612"/>
      <c r="FO8" s="612"/>
      <c r="FP8" s="612"/>
      <c r="FQ8" s="612"/>
      <c r="FR8" s="612"/>
      <c r="FS8" s="612"/>
      <c r="FT8" s="612"/>
      <c r="FU8" s="612"/>
      <c r="FV8" s="612"/>
      <c r="FW8" s="612"/>
      <c r="FX8" s="612"/>
      <c r="FY8" s="612"/>
      <c r="FZ8" s="612"/>
      <c r="GA8" s="612"/>
      <c r="GB8" s="612"/>
      <c r="GC8" s="612"/>
      <c r="GD8" s="612"/>
      <c r="GE8" s="612"/>
      <c r="GF8" s="612"/>
      <c r="GG8" s="612"/>
      <c r="GH8" s="612"/>
      <c r="GI8" s="612"/>
      <c r="GJ8" s="612"/>
      <c r="GK8" s="612"/>
      <c r="GL8" s="612"/>
      <c r="GM8" s="612"/>
      <c r="GN8" s="612"/>
      <c r="GO8" s="612"/>
      <c r="GP8" s="612"/>
      <c r="GQ8" s="612"/>
      <c r="GR8" s="612"/>
      <c r="GS8" s="612"/>
      <c r="GT8" s="612"/>
      <c r="GU8" s="612"/>
      <c r="GV8" s="612"/>
      <c r="GW8" s="612"/>
      <c r="GX8" s="612"/>
      <c r="GY8" s="612"/>
      <c r="GZ8" s="612"/>
      <c r="HA8" s="612"/>
      <c r="HB8" s="612"/>
      <c r="HC8" s="612"/>
      <c r="HD8" s="612"/>
      <c r="HE8" s="612"/>
      <c r="HF8" s="612"/>
      <c r="HG8" s="612"/>
      <c r="HH8" s="612"/>
      <c r="HI8" s="612"/>
      <c r="HJ8" s="612"/>
      <c r="HK8" s="612"/>
      <c r="HL8" s="612"/>
      <c r="HM8" s="612"/>
      <c r="HN8" s="612"/>
      <c r="HO8" s="612"/>
      <c r="HP8" s="612"/>
      <c r="HQ8" s="612"/>
      <c r="HR8" s="612"/>
      <c r="HS8" s="612"/>
      <c r="HT8" s="612"/>
      <c r="HU8" s="612"/>
      <c r="HV8" s="612"/>
      <c r="HW8" s="612"/>
      <c r="HX8" s="612"/>
      <c r="HY8" s="612"/>
      <c r="HZ8" s="612"/>
      <c r="IA8" s="612"/>
      <c r="IB8" s="612"/>
      <c r="IC8" s="612"/>
      <c r="ID8" s="612"/>
      <c r="IE8" s="612"/>
      <c r="IF8" s="612"/>
      <c r="IG8" s="612"/>
      <c r="IH8" s="612"/>
      <c r="II8" s="612"/>
      <c r="IJ8" s="612"/>
      <c r="IK8" s="612"/>
      <c r="IL8" s="612"/>
      <c r="IM8" s="612"/>
      <c r="IN8" s="612"/>
      <c r="IO8" s="612"/>
      <c r="IP8" s="612"/>
      <c r="IQ8" s="612"/>
      <c r="IR8" s="612"/>
      <c r="IS8" s="612"/>
      <c r="IT8" s="612"/>
      <c r="IU8" s="612"/>
      <c r="IV8" s="612"/>
      <c r="IW8" s="612"/>
    </row>
    <row r="9" spans="2:257" s="613" customFormat="1" ht="14.25">
      <c r="B9" s="614" t="s">
        <v>1817</v>
      </c>
      <c r="C9" s="615"/>
      <c r="D9" s="618"/>
      <c r="E9" s="618">
        <v>65944</v>
      </c>
      <c r="F9" s="618"/>
      <c r="G9" s="618"/>
      <c r="H9" s="618"/>
      <c r="I9" s="618"/>
      <c r="J9" s="618"/>
      <c r="K9" s="610"/>
      <c r="L9" s="611"/>
      <c r="M9" s="611"/>
      <c r="N9" s="611"/>
      <c r="O9" s="611"/>
      <c r="P9" s="612"/>
      <c r="Q9" s="612"/>
      <c r="R9" s="612"/>
      <c r="S9" s="612"/>
      <c r="T9" s="612"/>
      <c r="U9" s="612"/>
      <c r="V9" s="612"/>
      <c r="W9" s="612"/>
      <c r="X9" s="612"/>
      <c r="Y9" s="612"/>
      <c r="Z9" s="612"/>
      <c r="AA9" s="612"/>
      <c r="AB9" s="612"/>
      <c r="AC9" s="612"/>
      <c r="AD9" s="612"/>
      <c r="AE9" s="612"/>
      <c r="AF9" s="612"/>
      <c r="AG9" s="612"/>
      <c r="AH9" s="612"/>
      <c r="AI9" s="612"/>
      <c r="AJ9" s="612"/>
      <c r="AK9" s="612"/>
      <c r="AL9" s="612"/>
      <c r="AM9" s="612"/>
      <c r="AN9" s="612"/>
      <c r="AO9" s="612"/>
      <c r="AP9" s="612"/>
      <c r="AQ9" s="612"/>
      <c r="AR9" s="612"/>
      <c r="AS9" s="612"/>
      <c r="AT9" s="612"/>
      <c r="AU9" s="612"/>
      <c r="AV9" s="612"/>
      <c r="AW9" s="612"/>
      <c r="AX9" s="612"/>
      <c r="AY9" s="612"/>
      <c r="AZ9" s="612"/>
      <c r="BA9" s="612"/>
      <c r="BB9" s="612"/>
      <c r="BC9" s="612"/>
      <c r="BD9" s="612"/>
      <c r="BE9" s="612"/>
      <c r="BF9" s="612"/>
      <c r="BG9" s="612"/>
      <c r="BH9" s="612"/>
      <c r="BI9" s="612"/>
      <c r="BJ9" s="612"/>
      <c r="BK9" s="612"/>
      <c r="BL9" s="612"/>
      <c r="BM9" s="612"/>
      <c r="BN9" s="612"/>
      <c r="BO9" s="612"/>
      <c r="BP9" s="612"/>
      <c r="BQ9" s="612"/>
      <c r="BR9" s="612"/>
      <c r="BS9" s="612"/>
      <c r="BT9" s="612"/>
      <c r="BU9" s="612"/>
      <c r="BV9" s="612"/>
      <c r="BW9" s="612"/>
      <c r="BX9" s="612"/>
      <c r="BY9" s="612"/>
      <c r="BZ9" s="612"/>
      <c r="CA9" s="612"/>
      <c r="CB9" s="612"/>
      <c r="CC9" s="612"/>
      <c r="CD9" s="612"/>
      <c r="CE9" s="612"/>
      <c r="CF9" s="612"/>
      <c r="CG9" s="612"/>
      <c r="CH9" s="612"/>
      <c r="CI9" s="612"/>
      <c r="CJ9" s="612"/>
      <c r="CK9" s="612"/>
      <c r="CL9" s="612"/>
      <c r="CM9" s="612"/>
      <c r="CN9" s="612"/>
      <c r="CO9" s="612"/>
      <c r="CP9" s="612"/>
      <c r="CQ9" s="612"/>
      <c r="CR9" s="612"/>
      <c r="CS9" s="612"/>
      <c r="CT9" s="612"/>
      <c r="CU9" s="612"/>
      <c r="CV9" s="612"/>
      <c r="CW9" s="612"/>
      <c r="CX9" s="612"/>
      <c r="CY9" s="612"/>
      <c r="CZ9" s="612"/>
      <c r="DA9" s="612"/>
      <c r="DB9" s="612"/>
      <c r="DC9" s="612"/>
      <c r="DD9" s="612"/>
      <c r="DE9" s="612"/>
      <c r="DF9" s="612"/>
      <c r="DG9" s="612"/>
      <c r="DH9" s="612"/>
      <c r="DI9" s="612"/>
      <c r="DJ9" s="612"/>
      <c r="DK9" s="612"/>
      <c r="DL9" s="612"/>
      <c r="DM9" s="612"/>
      <c r="DN9" s="612"/>
      <c r="DO9" s="612"/>
      <c r="DP9" s="612"/>
      <c r="DQ9" s="612"/>
      <c r="DR9" s="612"/>
      <c r="DS9" s="612"/>
      <c r="DT9" s="612"/>
      <c r="DU9" s="612"/>
      <c r="DV9" s="612"/>
      <c r="DW9" s="612"/>
      <c r="DX9" s="612"/>
      <c r="DY9" s="612"/>
      <c r="DZ9" s="612"/>
      <c r="EA9" s="612"/>
      <c r="EB9" s="612"/>
      <c r="EC9" s="612"/>
      <c r="ED9" s="612"/>
      <c r="EE9" s="612"/>
      <c r="EF9" s="612"/>
      <c r="EG9" s="612"/>
      <c r="EH9" s="612"/>
      <c r="EI9" s="612"/>
      <c r="EJ9" s="612"/>
      <c r="EK9" s="612"/>
      <c r="EL9" s="612"/>
      <c r="EM9" s="612"/>
      <c r="EN9" s="612"/>
      <c r="EO9" s="612"/>
      <c r="EP9" s="612"/>
      <c r="EQ9" s="612"/>
      <c r="ER9" s="612"/>
      <c r="ES9" s="612"/>
      <c r="ET9" s="612"/>
      <c r="EU9" s="612"/>
      <c r="EV9" s="612"/>
      <c r="EW9" s="612"/>
      <c r="EX9" s="612"/>
      <c r="EY9" s="612"/>
      <c r="EZ9" s="612"/>
      <c r="FA9" s="612"/>
      <c r="FB9" s="612"/>
      <c r="FC9" s="612"/>
      <c r="FD9" s="612"/>
      <c r="FE9" s="612"/>
      <c r="FF9" s="612"/>
      <c r="FG9" s="612"/>
      <c r="FH9" s="612"/>
      <c r="FI9" s="612"/>
      <c r="FJ9" s="612"/>
      <c r="FK9" s="612"/>
      <c r="FL9" s="612"/>
      <c r="FM9" s="612"/>
      <c r="FN9" s="612"/>
      <c r="FO9" s="612"/>
      <c r="FP9" s="612"/>
      <c r="FQ9" s="612"/>
      <c r="FR9" s="612"/>
      <c r="FS9" s="612"/>
      <c r="FT9" s="612"/>
      <c r="FU9" s="612"/>
      <c r="FV9" s="612"/>
      <c r="FW9" s="612"/>
      <c r="FX9" s="612"/>
      <c r="FY9" s="612"/>
      <c r="FZ9" s="612"/>
      <c r="GA9" s="612"/>
      <c r="GB9" s="612"/>
      <c r="GC9" s="612"/>
      <c r="GD9" s="612"/>
      <c r="GE9" s="612"/>
      <c r="GF9" s="612"/>
      <c r="GG9" s="612"/>
      <c r="GH9" s="612"/>
      <c r="GI9" s="612"/>
      <c r="GJ9" s="612"/>
      <c r="GK9" s="612"/>
      <c r="GL9" s="612"/>
      <c r="GM9" s="612"/>
      <c r="GN9" s="612"/>
      <c r="GO9" s="612"/>
      <c r="GP9" s="612"/>
      <c r="GQ9" s="612"/>
      <c r="GR9" s="612"/>
      <c r="GS9" s="612"/>
      <c r="GT9" s="612"/>
      <c r="GU9" s="612"/>
      <c r="GV9" s="612"/>
      <c r="GW9" s="612"/>
      <c r="GX9" s="612"/>
      <c r="GY9" s="612"/>
      <c r="GZ9" s="612"/>
      <c r="HA9" s="612"/>
      <c r="HB9" s="612"/>
      <c r="HC9" s="612"/>
      <c r="HD9" s="612"/>
      <c r="HE9" s="612"/>
      <c r="HF9" s="612"/>
      <c r="HG9" s="612"/>
      <c r="HH9" s="612"/>
      <c r="HI9" s="612"/>
      <c r="HJ9" s="612"/>
      <c r="HK9" s="612"/>
      <c r="HL9" s="612"/>
      <c r="HM9" s="612"/>
      <c r="HN9" s="612"/>
      <c r="HO9" s="612"/>
      <c r="HP9" s="612"/>
      <c r="HQ9" s="612"/>
      <c r="HR9" s="612"/>
      <c r="HS9" s="612"/>
      <c r="HT9" s="612"/>
      <c r="HU9" s="612"/>
      <c r="HV9" s="612"/>
      <c r="HW9" s="612"/>
      <c r="HX9" s="612"/>
      <c r="HY9" s="612"/>
      <c r="HZ9" s="612"/>
      <c r="IA9" s="612"/>
      <c r="IB9" s="612"/>
      <c r="IC9" s="612"/>
      <c r="ID9" s="612"/>
      <c r="IE9" s="612"/>
      <c r="IF9" s="612"/>
      <c r="IG9" s="612"/>
      <c r="IH9" s="612"/>
      <c r="II9" s="612"/>
      <c r="IJ9" s="612"/>
      <c r="IK9" s="612"/>
      <c r="IL9" s="612"/>
      <c r="IM9" s="612"/>
      <c r="IN9" s="612"/>
      <c r="IO9" s="612"/>
      <c r="IP9" s="612"/>
      <c r="IQ9" s="612"/>
      <c r="IR9" s="612"/>
      <c r="IS9" s="612"/>
      <c r="IT9" s="612"/>
      <c r="IU9" s="612"/>
      <c r="IV9" s="612"/>
      <c r="IW9" s="612"/>
    </row>
    <row r="10" spans="2:257" s="613" customFormat="1" ht="14.25">
      <c r="B10" s="614" t="s">
        <v>15</v>
      </c>
      <c r="C10" s="615"/>
      <c r="D10" s="618">
        <f>SUM(D7:D8)</f>
        <v>10000</v>
      </c>
      <c r="E10" s="618">
        <f>SUM(E7:E9)</f>
        <v>310278</v>
      </c>
      <c r="F10" s="618">
        <f>SUM(F7:F8)</f>
        <v>65666</v>
      </c>
      <c r="G10" s="618">
        <f>SUM(G7:G8)</f>
        <v>0</v>
      </c>
      <c r="H10" s="618">
        <f>SUM(H7:H8)</f>
        <v>0.02</v>
      </c>
      <c r="I10" s="618">
        <f>SUM(I7:I8)</f>
        <v>0.02</v>
      </c>
      <c r="J10" s="618">
        <f>SUM(J7:J8)</f>
        <v>0.02</v>
      </c>
      <c r="K10" s="610"/>
      <c r="L10" s="611"/>
      <c r="M10" s="611"/>
      <c r="N10" s="611"/>
      <c r="O10" s="611"/>
      <c r="P10" s="612"/>
      <c r="Q10" s="612"/>
      <c r="R10" s="612"/>
      <c r="S10" s="612"/>
      <c r="T10" s="612"/>
      <c r="U10" s="612"/>
      <c r="V10" s="612"/>
      <c r="W10" s="612"/>
      <c r="X10" s="612"/>
      <c r="Y10" s="612"/>
      <c r="Z10" s="612"/>
      <c r="AA10" s="612"/>
      <c r="AB10" s="612"/>
      <c r="AC10" s="612"/>
      <c r="AD10" s="612"/>
      <c r="AE10" s="612"/>
      <c r="AF10" s="612"/>
      <c r="AG10" s="612"/>
      <c r="AH10" s="612"/>
      <c r="AI10" s="612"/>
      <c r="AJ10" s="612"/>
      <c r="AK10" s="612"/>
      <c r="AL10" s="612"/>
      <c r="AM10" s="612"/>
      <c r="AN10" s="612"/>
      <c r="AO10" s="612"/>
      <c r="AP10" s="612"/>
      <c r="AQ10" s="612"/>
      <c r="AR10" s="612"/>
      <c r="AS10" s="612"/>
      <c r="AT10" s="612"/>
      <c r="AU10" s="612"/>
      <c r="AV10" s="612"/>
      <c r="AW10" s="612"/>
      <c r="AX10" s="612"/>
      <c r="AY10" s="612"/>
      <c r="AZ10" s="612"/>
      <c r="BA10" s="612"/>
      <c r="BB10" s="612"/>
      <c r="BC10" s="612"/>
      <c r="BD10" s="612"/>
      <c r="BE10" s="612"/>
      <c r="BF10" s="612"/>
      <c r="BG10" s="612"/>
      <c r="BH10" s="612"/>
      <c r="BI10" s="612"/>
      <c r="BJ10" s="612"/>
      <c r="BK10" s="612"/>
      <c r="BL10" s="612"/>
      <c r="BM10" s="612"/>
      <c r="BN10" s="612"/>
      <c r="BO10" s="612"/>
      <c r="BP10" s="612"/>
      <c r="BQ10" s="612"/>
      <c r="BR10" s="612"/>
      <c r="BS10" s="612"/>
      <c r="BT10" s="612"/>
      <c r="BU10" s="612"/>
      <c r="BV10" s="612"/>
      <c r="BW10" s="612"/>
      <c r="BX10" s="612"/>
      <c r="BY10" s="612"/>
      <c r="BZ10" s="612"/>
      <c r="CA10" s="612"/>
      <c r="CB10" s="612"/>
      <c r="CC10" s="612"/>
      <c r="CD10" s="612"/>
      <c r="CE10" s="612"/>
      <c r="CF10" s="612"/>
      <c r="CG10" s="612"/>
      <c r="CH10" s="612"/>
      <c r="CI10" s="612"/>
      <c r="CJ10" s="612"/>
      <c r="CK10" s="612"/>
      <c r="CL10" s="612"/>
      <c r="CM10" s="612"/>
      <c r="CN10" s="612"/>
      <c r="CO10" s="612"/>
      <c r="CP10" s="612"/>
      <c r="CQ10" s="612"/>
      <c r="CR10" s="612"/>
      <c r="CS10" s="612"/>
      <c r="CT10" s="612"/>
      <c r="CU10" s="612"/>
      <c r="CV10" s="612"/>
      <c r="CW10" s="612"/>
      <c r="CX10" s="612"/>
      <c r="CY10" s="612"/>
      <c r="CZ10" s="612"/>
      <c r="DA10" s="612"/>
      <c r="DB10" s="612"/>
      <c r="DC10" s="612"/>
      <c r="DD10" s="612"/>
      <c r="DE10" s="612"/>
      <c r="DF10" s="612"/>
      <c r="DG10" s="612"/>
      <c r="DH10" s="612"/>
      <c r="DI10" s="612"/>
      <c r="DJ10" s="612"/>
      <c r="DK10" s="612"/>
      <c r="DL10" s="612"/>
      <c r="DM10" s="612"/>
      <c r="DN10" s="612"/>
      <c r="DO10" s="612"/>
      <c r="DP10" s="612"/>
      <c r="DQ10" s="612"/>
      <c r="DR10" s="612"/>
      <c r="DS10" s="612"/>
      <c r="DT10" s="612"/>
      <c r="DU10" s="612"/>
      <c r="DV10" s="612"/>
      <c r="DW10" s="612"/>
      <c r="DX10" s="612"/>
      <c r="DY10" s="612"/>
      <c r="DZ10" s="612"/>
      <c r="EA10" s="612"/>
      <c r="EB10" s="612"/>
      <c r="EC10" s="612"/>
      <c r="ED10" s="612"/>
      <c r="EE10" s="612"/>
      <c r="EF10" s="612"/>
      <c r="EG10" s="612"/>
      <c r="EH10" s="612"/>
      <c r="EI10" s="612"/>
      <c r="EJ10" s="612"/>
      <c r="EK10" s="612"/>
      <c r="EL10" s="612"/>
      <c r="EM10" s="612"/>
      <c r="EN10" s="612"/>
      <c r="EO10" s="612"/>
      <c r="EP10" s="612"/>
      <c r="EQ10" s="612"/>
      <c r="ER10" s="612"/>
      <c r="ES10" s="612"/>
      <c r="ET10" s="612"/>
      <c r="EU10" s="612"/>
      <c r="EV10" s="612"/>
      <c r="EW10" s="612"/>
      <c r="EX10" s="612"/>
      <c r="EY10" s="612"/>
      <c r="EZ10" s="612"/>
      <c r="FA10" s="612"/>
      <c r="FB10" s="612"/>
      <c r="FC10" s="612"/>
      <c r="FD10" s="612"/>
      <c r="FE10" s="612"/>
      <c r="FF10" s="612"/>
      <c r="FG10" s="612"/>
      <c r="FH10" s="612"/>
      <c r="FI10" s="612"/>
      <c r="FJ10" s="612"/>
      <c r="FK10" s="612"/>
      <c r="FL10" s="612"/>
      <c r="FM10" s="612"/>
      <c r="FN10" s="612"/>
      <c r="FO10" s="612"/>
      <c r="FP10" s="612"/>
      <c r="FQ10" s="612"/>
      <c r="FR10" s="612"/>
      <c r="FS10" s="612"/>
      <c r="FT10" s="612"/>
      <c r="FU10" s="612"/>
      <c r="FV10" s="612"/>
      <c r="FW10" s="612"/>
      <c r="FX10" s="612"/>
      <c r="FY10" s="612"/>
      <c r="FZ10" s="612"/>
      <c r="GA10" s="612"/>
      <c r="GB10" s="612"/>
      <c r="GC10" s="612"/>
      <c r="GD10" s="612"/>
      <c r="GE10" s="612"/>
      <c r="GF10" s="612"/>
      <c r="GG10" s="612"/>
      <c r="GH10" s="612"/>
      <c r="GI10" s="612"/>
      <c r="GJ10" s="612"/>
      <c r="GK10" s="612"/>
      <c r="GL10" s="612"/>
      <c r="GM10" s="612"/>
      <c r="GN10" s="612"/>
      <c r="GO10" s="612"/>
      <c r="GP10" s="612"/>
      <c r="GQ10" s="612"/>
      <c r="GR10" s="612"/>
      <c r="GS10" s="612"/>
      <c r="GT10" s="612"/>
      <c r="GU10" s="612"/>
      <c r="GV10" s="612"/>
      <c r="GW10" s="612"/>
      <c r="GX10" s="612"/>
      <c r="GY10" s="612"/>
      <c r="GZ10" s="612"/>
      <c r="HA10" s="612"/>
      <c r="HB10" s="612"/>
      <c r="HC10" s="612"/>
      <c r="HD10" s="612"/>
      <c r="HE10" s="612"/>
      <c r="HF10" s="612"/>
      <c r="HG10" s="612"/>
      <c r="HH10" s="612"/>
      <c r="HI10" s="612"/>
      <c r="HJ10" s="612"/>
      <c r="HK10" s="612"/>
      <c r="HL10" s="612"/>
      <c r="HM10" s="612"/>
      <c r="HN10" s="612"/>
      <c r="HO10" s="612"/>
      <c r="HP10" s="612"/>
      <c r="HQ10" s="612"/>
      <c r="HR10" s="612"/>
      <c r="HS10" s="612"/>
      <c r="HT10" s="612"/>
      <c r="HU10" s="612"/>
      <c r="HV10" s="612"/>
      <c r="HW10" s="612"/>
      <c r="HX10" s="612"/>
      <c r="HY10" s="612"/>
      <c r="HZ10" s="612"/>
      <c r="IA10" s="612"/>
      <c r="IB10" s="612"/>
      <c r="IC10" s="612"/>
      <c r="ID10" s="612"/>
      <c r="IE10" s="612"/>
      <c r="IF10" s="612"/>
      <c r="IG10" s="612"/>
      <c r="IH10" s="612"/>
      <c r="II10" s="612"/>
      <c r="IJ10" s="612"/>
      <c r="IK10" s="612"/>
      <c r="IL10" s="612"/>
      <c r="IM10" s="612"/>
      <c r="IN10" s="612"/>
      <c r="IO10" s="612"/>
      <c r="IP10" s="612"/>
      <c r="IQ10" s="612"/>
      <c r="IR10" s="612"/>
      <c r="IS10" s="612"/>
      <c r="IT10" s="612"/>
      <c r="IU10" s="612"/>
      <c r="IV10" s="612"/>
      <c r="IW10" s="612"/>
    </row>
    <row r="11" spans="2:257" ht="14.25">
      <c r="B11" s="25"/>
      <c r="C11" s="26"/>
      <c r="D11" s="27"/>
      <c r="E11" s="27"/>
      <c r="F11" s="27"/>
      <c r="G11" s="27"/>
      <c r="H11" s="26"/>
      <c r="I11" s="26"/>
      <c r="J11" s="26"/>
      <c r="K11" s="10"/>
      <c r="L11" s="10"/>
      <c r="M11" s="10"/>
      <c r="N11" s="10"/>
      <c r="O11" s="10"/>
    </row>
    <row r="12" spans="2:257" ht="13.5" customHeight="1">
      <c r="B12" s="624" t="s">
        <v>16</v>
      </c>
      <c r="C12" s="625"/>
      <c r="D12" s="625"/>
      <c r="E12" s="625"/>
      <c r="F12" s="625"/>
      <c r="G12" s="625"/>
      <c r="H12" s="625"/>
      <c r="I12" s="625"/>
      <c r="J12" s="626"/>
      <c r="K12" s="28"/>
      <c r="L12" s="10"/>
      <c r="M12" s="10"/>
      <c r="N12" s="10"/>
      <c r="O12" s="10"/>
    </row>
    <row r="13" spans="2:257" ht="14.25">
      <c r="B13" s="29"/>
      <c r="C13" s="30"/>
      <c r="D13" s="31" t="s">
        <v>17</v>
      </c>
      <c r="E13" s="32" t="s">
        <v>18</v>
      </c>
      <c r="F13" s="32" t="s">
        <v>19</v>
      </c>
      <c r="G13" s="32" t="s">
        <v>20</v>
      </c>
      <c r="H13" s="32" t="s">
        <v>21</v>
      </c>
      <c r="I13" s="32" t="s">
        <v>22</v>
      </c>
      <c r="J13" s="33" t="s">
        <v>22</v>
      </c>
      <c r="K13" s="28"/>
      <c r="L13" s="10"/>
      <c r="M13" s="10"/>
      <c r="N13" s="10"/>
      <c r="O13" s="10"/>
    </row>
    <row r="14" spans="2:257" ht="14.25">
      <c r="B14" s="34" t="s">
        <v>23</v>
      </c>
      <c r="C14" s="35"/>
      <c r="D14" s="36"/>
      <c r="E14" s="37"/>
      <c r="F14" s="37"/>
      <c r="G14" s="37"/>
      <c r="H14" s="37"/>
      <c r="I14" s="37"/>
      <c r="J14" s="37"/>
      <c r="K14" s="11"/>
      <c r="L14" s="10"/>
      <c r="M14" s="10"/>
      <c r="N14" s="10"/>
      <c r="O14" s="10"/>
    </row>
    <row r="15" spans="2:257" ht="14.25">
      <c r="B15" s="38" t="s">
        <v>24</v>
      </c>
      <c r="C15" s="39"/>
      <c r="D15" s="40"/>
      <c r="E15" s="12"/>
      <c r="F15" s="12"/>
      <c r="G15" s="12"/>
      <c r="H15" s="12"/>
      <c r="I15" s="12"/>
      <c r="J15" s="41"/>
      <c r="K15" s="28"/>
      <c r="L15" s="10"/>
      <c r="M15" s="10"/>
      <c r="N15" s="10"/>
      <c r="O15" s="10"/>
    </row>
    <row r="16" spans="2:257" ht="14.25">
      <c r="B16" s="42" t="s">
        <v>25</v>
      </c>
      <c r="C16" s="39"/>
      <c r="D16" s="40"/>
      <c r="E16" s="12"/>
      <c r="F16" s="12"/>
      <c r="G16" s="12"/>
      <c r="H16" s="12"/>
      <c r="I16" s="12"/>
      <c r="J16" s="41"/>
      <c r="K16" s="28"/>
      <c r="L16" s="10"/>
      <c r="M16" s="10"/>
      <c r="N16" s="10"/>
      <c r="O16" s="10"/>
    </row>
    <row r="17" spans="2:15" ht="14.25">
      <c r="B17" s="42" t="s">
        <v>26</v>
      </c>
      <c r="C17" s="39"/>
      <c r="D17" s="40"/>
      <c r="E17" s="12">
        <v>135</v>
      </c>
      <c r="F17" s="12">
        <v>255</v>
      </c>
      <c r="G17" s="12">
        <v>380</v>
      </c>
      <c r="H17" s="12">
        <v>380</v>
      </c>
      <c r="I17" s="12">
        <v>380</v>
      </c>
      <c r="J17" s="41"/>
      <c r="K17" s="28"/>
      <c r="L17" s="10"/>
      <c r="M17" s="10"/>
      <c r="N17" s="10"/>
      <c r="O17" s="10"/>
    </row>
    <row r="18" spans="2:15" ht="14.25">
      <c r="B18" s="43" t="s">
        <v>27</v>
      </c>
      <c r="C18" s="44"/>
      <c r="D18" s="45"/>
      <c r="E18" s="46">
        <v>110</v>
      </c>
      <c r="F18" s="46">
        <v>240</v>
      </c>
      <c r="G18" s="46">
        <v>315</v>
      </c>
      <c r="H18" s="46">
        <v>420</v>
      </c>
      <c r="I18" s="46">
        <v>420</v>
      </c>
      <c r="J18" s="47"/>
      <c r="K18" s="28"/>
      <c r="L18" s="10"/>
      <c r="M18" s="10"/>
      <c r="N18" s="10"/>
      <c r="O18" s="10"/>
    </row>
    <row r="19" spans="2:15" ht="14.25">
      <c r="B19" s="48" t="s">
        <v>28</v>
      </c>
      <c r="C19" s="30"/>
      <c r="D19" s="49">
        <f>SUM(D14:D18)</f>
        <v>0</v>
      </c>
      <c r="E19" s="50">
        <f>SUM(E14:E18)</f>
        <v>245</v>
      </c>
      <c r="F19" s="50">
        <f t="shared" ref="F19:J19" si="3">SUM(F14:F18)</f>
        <v>495</v>
      </c>
      <c r="G19" s="50">
        <f t="shared" si="3"/>
        <v>695</v>
      </c>
      <c r="H19" s="50">
        <f t="shared" si="3"/>
        <v>800</v>
      </c>
      <c r="I19" s="50">
        <f t="shared" si="3"/>
        <v>800</v>
      </c>
      <c r="J19" s="51">
        <f t="shared" si="3"/>
        <v>0</v>
      </c>
      <c r="K19" s="28"/>
      <c r="L19" s="10"/>
      <c r="M19" s="10"/>
      <c r="N19" s="10"/>
      <c r="O19" s="10"/>
    </row>
    <row r="20" spans="2:15" ht="14.25">
      <c r="B20" s="48" t="s">
        <v>29</v>
      </c>
      <c r="C20" s="30"/>
      <c r="D20" s="49">
        <f t="shared" ref="D20:J20" si="4">ROUND(D15/2,0)+SUM(D16:D18)</f>
        <v>0</v>
      </c>
      <c r="E20" s="50">
        <f t="shared" si="4"/>
        <v>245</v>
      </c>
      <c r="F20" s="50">
        <f t="shared" si="4"/>
        <v>495</v>
      </c>
      <c r="G20" s="50">
        <f t="shared" si="4"/>
        <v>695</v>
      </c>
      <c r="H20" s="50">
        <f t="shared" si="4"/>
        <v>800</v>
      </c>
      <c r="I20" s="50">
        <f t="shared" si="4"/>
        <v>800</v>
      </c>
      <c r="J20" s="51">
        <f t="shared" si="4"/>
        <v>0</v>
      </c>
      <c r="K20" s="28"/>
      <c r="L20" s="10"/>
      <c r="M20" s="10"/>
      <c r="N20" s="10"/>
      <c r="O20" s="10"/>
    </row>
    <row r="21" spans="2:15" ht="14.25">
      <c r="B21" s="52" t="s">
        <v>30</v>
      </c>
      <c r="C21" s="35"/>
      <c r="D21" s="36">
        <v>0</v>
      </c>
      <c r="E21" s="37">
        <v>21.6</v>
      </c>
      <c r="F21" s="37">
        <v>43.2</v>
      </c>
      <c r="G21" s="37">
        <v>64.8</v>
      </c>
      <c r="H21" s="37">
        <v>86.4</v>
      </c>
      <c r="I21" s="37">
        <v>86.4</v>
      </c>
      <c r="J21" s="37">
        <v>86.4</v>
      </c>
      <c r="K21" s="11"/>
      <c r="L21" s="10"/>
      <c r="M21" s="10"/>
      <c r="N21" s="10"/>
      <c r="O21" s="10"/>
    </row>
    <row r="22" spans="2:15" ht="14.25">
      <c r="B22" s="42" t="s">
        <v>31</v>
      </c>
      <c r="C22" s="39"/>
      <c r="D22" s="40">
        <v>0</v>
      </c>
      <c r="E22" s="12">
        <v>1</v>
      </c>
      <c r="F22" s="12">
        <v>2</v>
      </c>
      <c r="G22" s="12">
        <v>3</v>
      </c>
      <c r="H22" s="12">
        <v>4</v>
      </c>
      <c r="I22" s="12">
        <v>4</v>
      </c>
      <c r="J22" s="41">
        <v>4</v>
      </c>
      <c r="K22" s="28"/>
      <c r="L22" s="10"/>
      <c r="M22" s="10"/>
      <c r="N22" s="10"/>
      <c r="O22" s="10"/>
    </row>
    <row r="23" spans="2:15" ht="14.25">
      <c r="B23" s="42" t="s">
        <v>32</v>
      </c>
      <c r="C23" s="39"/>
      <c r="D23" s="40">
        <v>0</v>
      </c>
      <c r="E23" s="12">
        <v>14.000000000000002</v>
      </c>
      <c r="F23" s="12">
        <v>28.000000000000004</v>
      </c>
      <c r="G23" s="12">
        <v>42.000000000000007</v>
      </c>
      <c r="H23" s="12">
        <v>56.000000000000007</v>
      </c>
      <c r="I23" s="12">
        <v>56.000000000000007</v>
      </c>
      <c r="J23" s="12">
        <v>56.000000000000007</v>
      </c>
      <c r="K23" s="11"/>
      <c r="L23" s="10"/>
      <c r="M23" s="10"/>
      <c r="N23" s="10"/>
      <c r="O23" s="10"/>
    </row>
    <row r="24" spans="2:15" ht="14.25">
      <c r="B24" s="38" t="s">
        <v>33</v>
      </c>
      <c r="C24" s="39"/>
      <c r="D24" s="53"/>
      <c r="E24" s="54"/>
      <c r="F24" s="18">
        <v>0</v>
      </c>
      <c r="G24" s="18">
        <v>0</v>
      </c>
      <c r="H24" s="18">
        <v>0</v>
      </c>
      <c r="I24" s="18">
        <v>0</v>
      </c>
      <c r="J24" s="41">
        <v>0</v>
      </c>
      <c r="K24" s="28"/>
      <c r="L24" s="10"/>
      <c r="M24" s="10"/>
      <c r="N24" s="10"/>
      <c r="O24" s="10"/>
    </row>
    <row r="25" spans="2:15" ht="14.25">
      <c r="B25" s="38" t="s">
        <v>34</v>
      </c>
      <c r="C25" s="39"/>
      <c r="D25" s="55">
        <v>0</v>
      </c>
      <c r="E25" s="54"/>
      <c r="F25" s="54"/>
      <c r="G25" s="54"/>
      <c r="H25" s="54"/>
      <c r="I25" s="54"/>
      <c r="J25" s="41"/>
      <c r="K25" s="28"/>
      <c r="L25" s="10"/>
      <c r="M25" s="10"/>
      <c r="N25" s="10"/>
      <c r="O25" s="10"/>
    </row>
    <row r="26" spans="2:15" ht="14.25">
      <c r="B26" s="56" t="s">
        <v>35</v>
      </c>
      <c r="C26" s="44"/>
      <c r="D26" s="57">
        <v>0</v>
      </c>
      <c r="E26" s="58"/>
      <c r="F26" s="58"/>
      <c r="G26" s="58"/>
      <c r="H26" s="58"/>
      <c r="I26" s="58"/>
      <c r="J26" s="47"/>
      <c r="K26" s="28"/>
      <c r="L26" s="10"/>
      <c r="M26" s="10"/>
      <c r="N26" s="10"/>
      <c r="O26" s="10"/>
    </row>
    <row r="27" spans="2:15" ht="14.25">
      <c r="B27" s="59"/>
      <c r="C27" s="60"/>
      <c r="D27" s="60"/>
      <c r="E27" s="60"/>
      <c r="F27" s="60"/>
      <c r="G27" s="60"/>
      <c r="H27" s="60"/>
      <c r="I27" s="60"/>
      <c r="J27" s="60"/>
      <c r="K27" s="61"/>
      <c r="L27" s="61"/>
      <c r="M27" s="61"/>
      <c r="N27" s="61"/>
      <c r="O27" s="10"/>
    </row>
    <row r="28" spans="2:15" ht="14.25">
      <c r="B28" s="16" t="s">
        <v>36</v>
      </c>
      <c r="C28" s="17"/>
      <c r="D28" s="62" t="s">
        <v>37</v>
      </c>
      <c r="E28" s="18">
        <v>7.0000000000000007E-2</v>
      </c>
      <c r="F28" s="18">
        <v>7.0000000000000007E-2</v>
      </c>
      <c r="G28" s="18">
        <v>7.0000000000000007E-2</v>
      </c>
      <c r="H28" s="18">
        <v>7.0000000000000007E-2</v>
      </c>
      <c r="I28" s="18">
        <v>7.0000000000000007E-2</v>
      </c>
      <c r="J28" s="18">
        <v>7.0000000000000007E-2</v>
      </c>
      <c r="K28" s="11"/>
      <c r="L28" s="10"/>
      <c r="M28" s="10"/>
      <c r="N28" s="10"/>
      <c r="O28" s="10"/>
    </row>
    <row r="29" spans="2:15" ht="14.25">
      <c r="B29" s="16" t="s">
        <v>38</v>
      </c>
      <c r="C29" s="17"/>
      <c r="D29" s="62" t="s">
        <v>37</v>
      </c>
      <c r="E29" s="18">
        <v>0.85</v>
      </c>
      <c r="F29" s="18">
        <v>0.85</v>
      </c>
      <c r="G29" s="18">
        <v>0.85</v>
      </c>
      <c r="H29" s="18">
        <v>0.85</v>
      </c>
      <c r="I29" s="18">
        <v>0.85</v>
      </c>
      <c r="J29" s="18">
        <v>0.85</v>
      </c>
      <c r="K29" s="11"/>
      <c r="L29" s="10"/>
      <c r="M29" s="10"/>
      <c r="N29" s="10"/>
      <c r="O29" s="10"/>
    </row>
    <row r="30" spans="2:15" ht="14.25">
      <c r="B30" s="16" t="s">
        <v>39</v>
      </c>
      <c r="C30" s="17"/>
      <c r="D30" s="62" t="s">
        <v>37</v>
      </c>
      <c r="E30" s="18">
        <v>0.85</v>
      </c>
      <c r="F30" s="18">
        <v>0.85</v>
      </c>
      <c r="G30" s="18">
        <v>0.85</v>
      </c>
      <c r="H30" s="18">
        <v>0.85</v>
      </c>
      <c r="I30" s="18">
        <v>0.85</v>
      </c>
      <c r="J30" s="18">
        <v>0.85</v>
      </c>
      <c r="K30" s="63"/>
      <c r="L30" s="64"/>
      <c r="M30" s="61"/>
      <c r="N30" s="65"/>
      <c r="O30" s="61"/>
    </row>
    <row r="31" spans="2:15" ht="14.25">
      <c r="B31" s="66"/>
      <c r="C31" s="13"/>
      <c r="D31" s="67"/>
      <c r="E31" s="67"/>
      <c r="F31" s="67"/>
      <c r="G31" s="67"/>
      <c r="H31" s="13"/>
      <c r="I31" s="13"/>
      <c r="J31" s="13"/>
      <c r="K31" s="10"/>
      <c r="L31" s="10"/>
      <c r="M31" s="10"/>
      <c r="N31" s="10"/>
      <c r="O31" s="10"/>
    </row>
    <row r="32" spans="2:15" ht="14.25">
      <c r="B32" s="68"/>
      <c r="C32" s="10"/>
      <c r="D32" s="10"/>
      <c r="E32" s="10"/>
      <c r="F32" s="10"/>
      <c r="G32" s="10"/>
      <c r="H32" s="10"/>
      <c r="I32" s="10"/>
      <c r="J32" s="10"/>
      <c r="K32" s="10"/>
      <c r="L32" s="10"/>
      <c r="M32" s="10"/>
      <c r="N32" s="10"/>
      <c r="O32" s="10"/>
    </row>
    <row r="33" spans="2:15" ht="14.25">
      <c r="B33" s="68"/>
      <c r="C33" s="10"/>
      <c r="D33" s="10"/>
      <c r="E33" s="10"/>
      <c r="F33" s="10"/>
      <c r="G33" s="10"/>
      <c r="H33" s="10"/>
      <c r="I33" s="10"/>
      <c r="J33" s="10"/>
      <c r="K33" s="10"/>
      <c r="L33" s="10"/>
      <c r="M33" s="10"/>
      <c r="N33" s="10"/>
      <c r="O33" s="10"/>
    </row>
    <row r="34" spans="2:15" ht="14.25">
      <c r="B34" s="68"/>
      <c r="C34" s="10"/>
      <c r="D34" s="10"/>
      <c r="E34" s="10"/>
      <c r="F34" s="10"/>
      <c r="G34" s="10"/>
      <c r="H34" s="10"/>
      <c r="I34" s="10"/>
      <c r="J34" s="10"/>
      <c r="K34" s="10"/>
      <c r="L34" s="10"/>
      <c r="M34" s="10"/>
      <c r="N34" s="10"/>
      <c r="O34" s="10"/>
    </row>
    <row r="35" spans="2:15" ht="14.25" hidden="1">
      <c r="B35" s="10" t="s">
        <v>40</v>
      </c>
      <c r="C35" s="10"/>
      <c r="D35" s="61">
        <f>IF(D20&gt;999,3,IF(D20&gt;700,2.5,IF(D20&gt;399,2,1)))</f>
        <v>1</v>
      </c>
      <c r="E35" s="10"/>
      <c r="F35" s="10"/>
      <c r="G35" s="10"/>
      <c r="H35" s="10"/>
      <c r="I35" s="10"/>
      <c r="J35" s="10"/>
      <c r="K35" s="10"/>
      <c r="L35" s="10"/>
      <c r="M35" s="10"/>
      <c r="N35" s="10"/>
      <c r="O35" s="69"/>
    </row>
    <row r="36" spans="2:15" ht="14.25" hidden="1">
      <c r="B36" s="10" t="s">
        <v>41</v>
      </c>
      <c r="C36" s="10"/>
      <c r="D36" s="61">
        <f>IF(D20&gt;399,2.5,2)</f>
        <v>2</v>
      </c>
      <c r="E36" s="10"/>
      <c r="F36" s="10"/>
      <c r="G36" s="10"/>
      <c r="H36" s="10"/>
      <c r="I36" s="10"/>
      <c r="J36" s="70"/>
      <c r="K36" s="10"/>
      <c r="L36" s="10"/>
      <c r="M36" s="10"/>
      <c r="N36" s="71"/>
      <c r="O36" s="72"/>
    </row>
    <row r="37" spans="2:15" ht="14.25" hidden="1">
      <c r="B37" s="10" t="s">
        <v>42</v>
      </c>
      <c r="C37" s="10"/>
      <c r="D37" s="61">
        <f>'Calculations - Table 1'!B65</f>
        <v>1</v>
      </c>
      <c r="E37" s="10"/>
      <c r="F37" s="10"/>
      <c r="G37" s="10"/>
      <c r="H37" s="10"/>
      <c r="I37" s="10"/>
      <c r="J37" s="70"/>
      <c r="K37" s="10"/>
      <c r="L37" s="10"/>
      <c r="M37" s="10"/>
      <c r="N37" s="71"/>
      <c r="O37" s="72"/>
    </row>
    <row r="38" spans="2:15" ht="14.25" hidden="1">
      <c r="B38" s="10" t="s">
        <v>43</v>
      </c>
      <c r="C38" s="10"/>
      <c r="D38" s="61">
        <f>IF(D20&lt;=200,0.5,IF(AND(D20&lt;=400,D20&gt;200),0.5,IF(AND(D20&lt;=549,D20&gt;400),1,IF(AND(D20&lt;=600,D20&gt;549),1.5,IF(AND(D20&lt;=1000,D20&gt;600),1.5,1.5)))))</f>
        <v>0.5</v>
      </c>
      <c r="E38" s="10"/>
      <c r="F38" s="10"/>
      <c r="G38" s="10"/>
      <c r="H38" s="10"/>
      <c r="I38" s="10"/>
      <c r="J38" s="70"/>
      <c r="K38" s="10"/>
      <c r="L38" s="10"/>
      <c r="M38" s="10"/>
      <c r="N38" s="71"/>
      <c r="O38" s="72"/>
    </row>
    <row r="39" spans="2:15" ht="14.25" hidden="1">
      <c r="B39" s="10" t="s">
        <v>44</v>
      </c>
      <c r="C39" s="10"/>
      <c r="D39" s="61">
        <f>IF(D20&lt;=200,1,IF(AND(D20&lt;=400,D20&gt;200),1.5,IF(AND(D20&lt;=549,D20&gt;400),2,IF(AND(D20&lt;=600,D20&gt;549),2.5,IF(AND(D20&lt;=1000,D20&gt;600),3.5,3)))))</f>
        <v>1</v>
      </c>
      <c r="E39" s="10"/>
      <c r="F39" s="10"/>
      <c r="G39" s="10"/>
      <c r="H39" s="10"/>
      <c r="I39" s="10"/>
      <c r="J39" s="70"/>
      <c r="K39" s="10"/>
      <c r="L39" s="10"/>
      <c r="M39" s="10"/>
      <c r="N39" s="71"/>
      <c r="O39" s="72"/>
    </row>
    <row r="40" spans="2:15" ht="14.25">
      <c r="B40" s="68"/>
      <c r="C40" s="10"/>
      <c r="D40" s="10"/>
      <c r="E40" s="10"/>
      <c r="F40" s="10"/>
      <c r="G40" s="10"/>
      <c r="H40" s="10"/>
      <c r="I40" s="10"/>
      <c r="J40" s="70"/>
      <c r="K40" s="10"/>
      <c r="L40" s="10"/>
      <c r="M40" s="10"/>
      <c r="N40" s="71"/>
      <c r="O40" s="72"/>
    </row>
    <row r="41" spans="2:15" ht="14.25">
      <c r="B41" s="68"/>
      <c r="C41" s="10"/>
      <c r="D41" s="10"/>
      <c r="E41" s="10"/>
      <c r="F41" s="10"/>
      <c r="G41" s="10"/>
      <c r="H41" s="10"/>
      <c r="I41" s="10"/>
      <c r="J41" s="70"/>
      <c r="K41" s="10"/>
      <c r="L41" s="10"/>
      <c r="M41" s="10"/>
      <c r="N41" s="71"/>
      <c r="O41" s="72"/>
    </row>
    <row r="42" spans="2:15" ht="14.25">
      <c r="B42" s="68"/>
      <c r="C42" s="10"/>
      <c r="D42" s="10"/>
      <c r="E42" s="10"/>
      <c r="F42" s="10"/>
      <c r="G42" s="10"/>
      <c r="H42" s="10"/>
      <c r="I42" s="10"/>
      <c r="J42" s="10"/>
      <c r="K42" s="10"/>
      <c r="L42" s="10"/>
      <c r="M42" s="10"/>
      <c r="N42" s="10"/>
      <c r="O42" s="10"/>
    </row>
    <row r="43" spans="2:15" ht="14.25">
      <c r="B43" s="68"/>
      <c r="C43" s="10"/>
      <c r="D43" s="10"/>
      <c r="E43" s="10"/>
      <c r="F43" s="10"/>
      <c r="G43" s="10"/>
      <c r="H43" s="10"/>
      <c r="I43" s="10"/>
      <c r="J43" s="10"/>
      <c r="K43" s="10"/>
      <c r="L43" s="10"/>
      <c r="M43" s="10"/>
      <c r="N43" s="10"/>
      <c r="O43" s="10"/>
    </row>
    <row r="44" spans="2:15" ht="14.25">
      <c r="B44" s="68"/>
      <c r="C44" s="10"/>
      <c r="D44" s="10"/>
      <c r="E44" s="10"/>
      <c r="F44" s="10"/>
      <c r="G44" s="10"/>
      <c r="H44" s="10"/>
      <c r="I44" s="10"/>
      <c r="J44" s="10"/>
      <c r="K44" s="10"/>
      <c r="L44" s="10"/>
      <c r="M44" s="10"/>
      <c r="N44" s="10"/>
      <c r="O44" s="10"/>
    </row>
    <row r="45" spans="2:15" ht="14.25">
      <c r="B45" s="68"/>
      <c r="C45" s="10"/>
      <c r="D45" s="10"/>
      <c r="E45" s="10"/>
      <c r="F45" s="10"/>
      <c r="G45" s="10"/>
      <c r="H45" s="10"/>
      <c r="I45" s="10"/>
      <c r="J45" s="10"/>
      <c r="K45" s="10"/>
      <c r="L45" s="10"/>
      <c r="M45" s="10"/>
      <c r="N45" s="10"/>
      <c r="O45" s="10"/>
    </row>
    <row r="46" spans="2:15" ht="14.25">
      <c r="B46" s="68"/>
      <c r="C46" s="10"/>
      <c r="D46" s="10"/>
      <c r="E46" s="10"/>
      <c r="F46" s="10"/>
      <c r="G46" s="10"/>
      <c r="H46" s="10"/>
      <c r="I46" s="10"/>
      <c r="J46" s="10"/>
      <c r="K46" s="10"/>
      <c r="L46" s="10"/>
      <c r="M46" s="10"/>
      <c r="N46" s="10"/>
      <c r="O46" s="10"/>
    </row>
    <row r="47" spans="2:15" ht="14.25">
      <c r="B47" s="68"/>
      <c r="C47" s="10"/>
      <c r="D47" s="10"/>
      <c r="E47" s="10"/>
      <c r="F47" s="10"/>
      <c r="G47" s="10"/>
      <c r="H47" s="10"/>
      <c r="I47" s="10"/>
      <c r="J47" s="10"/>
      <c r="K47" s="10"/>
      <c r="L47" s="10"/>
      <c r="M47" s="10"/>
      <c r="N47" s="10"/>
      <c r="O47" s="10"/>
    </row>
    <row r="48" spans="2:15" ht="14.25" hidden="1">
      <c r="B48" s="68"/>
      <c r="C48" s="10" t="s">
        <v>45</v>
      </c>
      <c r="D48" s="10" t="s">
        <v>46</v>
      </c>
      <c r="E48" s="10" t="s">
        <v>47</v>
      </c>
      <c r="F48" s="10" t="s">
        <v>48</v>
      </c>
      <c r="G48" s="10"/>
      <c r="H48" s="10"/>
      <c r="I48" s="10"/>
      <c r="J48" s="10"/>
      <c r="K48" s="10"/>
      <c r="L48" s="10"/>
      <c r="M48" s="10"/>
      <c r="N48" s="10"/>
      <c r="O48" s="10"/>
    </row>
    <row r="49" spans="2:15" ht="14.25" hidden="1">
      <c r="B49" s="73" t="s">
        <v>49</v>
      </c>
      <c r="C49" s="10" t="s">
        <v>50</v>
      </c>
      <c r="D49" s="10" t="s">
        <v>51</v>
      </c>
      <c r="E49" s="10" t="s">
        <v>52</v>
      </c>
      <c r="F49" s="74" t="s">
        <v>53</v>
      </c>
      <c r="G49" s="10"/>
      <c r="H49" s="10"/>
      <c r="I49" s="10"/>
      <c r="J49" s="10"/>
      <c r="K49" s="10"/>
      <c r="L49" s="10"/>
      <c r="M49" s="10"/>
      <c r="N49" s="10"/>
      <c r="O49" s="10"/>
    </row>
    <row r="50" spans="2:15" ht="14.25" hidden="1">
      <c r="B50" s="73" t="s">
        <v>54</v>
      </c>
      <c r="C50" s="10" t="s">
        <v>55</v>
      </c>
      <c r="D50" s="10" t="s">
        <v>56</v>
      </c>
      <c r="E50" s="10" t="s">
        <v>52</v>
      </c>
      <c r="F50" s="74" t="s">
        <v>53</v>
      </c>
      <c r="G50" s="10"/>
      <c r="H50" s="10"/>
      <c r="I50" s="10"/>
      <c r="J50" s="10"/>
      <c r="K50" s="10"/>
      <c r="L50" s="10"/>
      <c r="M50" s="10"/>
      <c r="N50" s="10"/>
      <c r="O50" s="10"/>
    </row>
    <row r="51" spans="2:15" ht="14.25" hidden="1">
      <c r="B51" s="73" t="s">
        <v>57</v>
      </c>
      <c r="C51" s="10" t="s">
        <v>58</v>
      </c>
      <c r="D51" s="10" t="s">
        <v>59</v>
      </c>
      <c r="E51" s="10" t="s">
        <v>60</v>
      </c>
      <c r="F51" s="74" t="s">
        <v>61</v>
      </c>
      <c r="G51" s="10"/>
      <c r="H51" s="10"/>
      <c r="I51" s="10"/>
      <c r="J51" s="10"/>
      <c r="K51" s="10"/>
      <c r="L51" s="10"/>
      <c r="M51" s="10"/>
      <c r="N51" s="10"/>
      <c r="O51" s="10"/>
    </row>
    <row r="52" spans="2:15" ht="14.25" hidden="1">
      <c r="B52" s="73" t="s">
        <v>10</v>
      </c>
      <c r="C52" s="10" t="s">
        <v>62</v>
      </c>
      <c r="D52" s="10" t="s">
        <v>63</v>
      </c>
      <c r="E52" s="10" t="s">
        <v>64</v>
      </c>
      <c r="F52" s="74" t="s">
        <v>61</v>
      </c>
      <c r="G52" s="10"/>
      <c r="H52" s="10"/>
      <c r="I52" s="10"/>
      <c r="J52" s="10"/>
      <c r="K52" s="10"/>
      <c r="L52" s="10"/>
      <c r="M52" s="10"/>
      <c r="N52" s="10"/>
      <c r="O52" s="10"/>
    </row>
    <row r="53" spans="2:15" ht="14.25" hidden="1">
      <c r="B53" s="73" t="s">
        <v>65</v>
      </c>
      <c r="C53" s="10" t="s">
        <v>62</v>
      </c>
      <c r="D53" s="10" t="s">
        <v>63</v>
      </c>
      <c r="E53" s="10" t="s">
        <v>64</v>
      </c>
      <c r="F53" s="74" t="s">
        <v>61</v>
      </c>
      <c r="G53" s="10"/>
      <c r="H53" s="10"/>
      <c r="I53" s="10"/>
      <c r="J53" s="10"/>
      <c r="K53" s="10"/>
      <c r="L53" s="10"/>
      <c r="M53" s="10"/>
      <c r="N53" s="10"/>
      <c r="O53" s="10"/>
    </row>
    <row r="54" spans="2:15" ht="14.25" hidden="1">
      <c r="B54" s="68"/>
      <c r="C54" s="10"/>
      <c r="D54" s="10"/>
      <c r="E54" s="10"/>
      <c r="F54" s="10"/>
      <c r="G54" s="10"/>
      <c r="H54" s="10"/>
      <c r="I54" s="10"/>
      <c r="J54" s="10"/>
      <c r="K54" s="10"/>
      <c r="L54" s="10"/>
      <c r="M54" s="10"/>
      <c r="N54" s="10"/>
      <c r="O54" s="10"/>
    </row>
    <row r="55" spans="2:15" ht="14.25">
      <c r="B55" s="68"/>
      <c r="C55" s="10"/>
      <c r="D55" s="10"/>
      <c r="E55" s="10"/>
      <c r="F55" s="10"/>
      <c r="G55" s="10"/>
      <c r="H55" s="10"/>
      <c r="I55" s="10"/>
      <c r="J55" s="10"/>
      <c r="K55" s="10"/>
      <c r="L55" s="10"/>
      <c r="M55" s="10"/>
      <c r="N55" s="10"/>
      <c r="O55" s="10"/>
    </row>
    <row r="56" spans="2:15" ht="14.25">
      <c r="B56" s="68"/>
      <c r="C56" s="10"/>
      <c r="D56" s="10"/>
      <c r="E56" s="10"/>
      <c r="F56" s="10"/>
      <c r="G56" s="10"/>
      <c r="H56" s="10"/>
      <c r="I56" s="10"/>
      <c r="J56" s="10"/>
      <c r="K56" s="10"/>
      <c r="L56" s="10"/>
      <c r="M56" s="10"/>
      <c r="N56" s="10"/>
      <c r="O56" s="10"/>
    </row>
    <row r="57" spans="2:15" ht="14.25">
      <c r="B57" s="68"/>
      <c r="C57" s="10"/>
      <c r="D57" s="10"/>
      <c r="E57" s="10"/>
      <c r="F57" s="10"/>
      <c r="G57" s="10"/>
      <c r="H57" s="10"/>
      <c r="I57" s="10"/>
      <c r="J57" s="10"/>
      <c r="K57" s="10"/>
      <c r="L57" s="10"/>
      <c r="M57" s="10"/>
      <c r="N57" s="10"/>
      <c r="O57" s="10"/>
    </row>
  </sheetData>
  <sheetProtection password="C112" sheet="1" objects="1" scenarios="1"/>
  <mergeCells count="1">
    <mergeCell ref="B12:J12"/>
  </mergeCells>
  <pageMargins left="0.20000004800000001" right="0.20000004800000001" top="0.75" bottom="0.75" header="0.30000001192092901" footer="0.30000001192092901"/>
  <pageSetup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dimension ref="A1:IV136"/>
  <sheetViews>
    <sheetView showGridLines="0" topLeftCell="A58" workbookViewId="0">
      <selection activeCell="D58" sqref="D58"/>
    </sheetView>
  </sheetViews>
  <sheetFormatPr defaultColWidth="11" defaultRowHeight="20.100000000000001" customHeight="1"/>
  <cols>
    <col min="1" max="1" width="36.875" style="5" customWidth="1"/>
    <col min="2" max="2" width="10.875" style="5" bestFit="1" customWidth="1"/>
    <col min="3" max="3" width="4.75" style="5" customWidth="1"/>
    <col min="4" max="4" width="11" style="5" customWidth="1"/>
    <col min="5" max="5" width="9.875" style="5" customWidth="1"/>
    <col min="6" max="8" width="10.375" style="5" bestFit="1" customWidth="1"/>
    <col min="9" max="9" width="16.5" style="5" hidden="1" customWidth="1"/>
    <col min="10" max="10" width="7.875" style="5" hidden="1" customWidth="1"/>
    <col min="11" max="11" width="24.75" style="5" hidden="1" customWidth="1"/>
    <col min="12" max="12" width="7.875" style="5" hidden="1" customWidth="1"/>
    <col min="13" max="17" width="7.625" style="5" hidden="1" customWidth="1"/>
    <col min="18" max="21" width="10.25" style="5" hidden="1" customWidth="1"/>
    <col min="22" max="22" width="0.625" style="5" customWidth="1"/>
    <col min="23" max="256" width="10.25" style="5" customWidth="1"/>
  </cols>
  <sheetData>
    <row r="1" spans="1:17" ht="14.25">
      <c r="A1" s="10" t="s">
        <v>68</v>
      </c>
      <c r="B1" s="75">
        <v>65944</v>
      </c>
      <c r="C1" s="10"/>
      <c r="D1" s="75">
        <f>B1*(1+Assumptions!E5)</f>
        <v>65944</v>
      </c>
      <c r="E1" s="75">
        <f>D1*(1+Assumptions!F5)</f>
        <v>66603.44</v>
      </c>
      <c r="F1" s="75">
        <f>E1*(1+Assumptions!G5)</f>
        <v>67269.474400000006</v>
      </c>
      <c r="G1" s="75">
        <f>F1*(1+Assumptions!H5)</f>
        <v>67942.169144000014</v>
      </c>
      <c r="H1" s="75">
        <f>G1*(1+Assumptions!I5)</f>
        <v>68621.590835440016</v>
      </c>
      <c r="I1" s="76"/>
      <c r="J1" s="76"/>
      <c r="K1" s="76"/>
      <c r="L1" s="76"/>
      <c r="M1" s="10"/>
      <c r="N1" s="10"/>
      <c r="O1" s="10"/>
      <c r="P1" s="10"/>
      <c r="Q1" s="10"/>
    </row>
    <row r="2" spans="1:17" ht="14.25">
      <c r="A2" s="10" t="s">
        <v>69</v>
      </c>
      <c r="B2" s="75">
        <v>14723</v>
      </c>
      <c r="C2" s="10"/>
      <c r="D2" s="75">
        <f>B2*(1+Assumptions!E5)</f>
        <v>14723</v>
      </c>
      <c r="E2" s="75">
        <f>D2*(1+Assumptions!F5)</f>
        <v>14870.23</v>
      </c>
      <c r="F2" s="75">
        <f>E2*(1+Assumptions!G5)</f>
        <v>15018.9323</v>
      </c>
      <c r="G2" s="75">
        <f>F2*(1+Assumptions!H5)</f>
        <v>15169.121623000001</v>
      </c>
      <c r="H2" s="75">
        <f>G2*(1+Assumptions!I5)</f>
        <v>15320.81283923</v>
      </c>
      <c r="I2" s="76"/>
      <c r="J2" s="76"/>
      <c r="K2" s="76"/>
      <c r="L2" s="76"/>
      <c r="M2" s="10"/>
      <c r="N2" s="10"/>
      <c r="O2" s="10"/>
      <c r="P2" s="10"/>
      <c r="Q2" s="10"/>
    </row>
    <row r="3" spans="1:17" ht="14.25">
      <c r="A3" s="10" t="s">
        <v>70</v>
      </c>
      <c r="B3" s="75">
        <v>90000</v>
      </c>
      <c r="C3" s="10"/>
      <c r="D3" s="75">
        <f>B3*(1+Assumptions!E5)</f>
        <v>90000</v>
      </c>
      <c r="E3" s="75">
        <f>D3*(1+Assumptions!F5)</f>
        <v>90900</v>
      </c>
      <c r="F3" s="75">
        <f>E3*(1+Assumptions!G5)</f>
        <v>91809</v>
      </c>
      <c r="G3" s="75">
        <f>F3*(1+Assumptions!H5)</f>
        <v>92727.09</v>
      </c>
      <c r="H3" s="75">
        <f>G3*(1+Assumptions!I5)</f>
        <v>93654.3609</v>
      </c>
      <c r="I3" s="76"/>
      <c r="J3" s="76"/>
      <c r="K3" s="76"/>
      <c r="L3" s="76"/>
      <c r="M3" s="10"/>
      <c r="N3" s="10"/>
      <c r="O3" s="10"/>
      <c r="P3" s="10"/>
      <c r="Q3" s="10"/>
    </row>
    <row r="4" spans="1:17" ht="14.25">
      <c r="A4" s="10" t="s">
        <v>71</v>
      </c>
      <c r="B4" s="75">
        <v>40000</v>
      </c>
      <c r="C4" s="10"/>
      <c r="D4" s="75">
        <f>B4*(1+Assumptions!E5)</f>
        <v>40000</v>
      </c>
      <c r="E4" s="75">
        <f>D4*(1+Assumptions!F5)</f>
        <v>40400</v>
      </c>
      <c r="F4" s="75">
        <f>E4*(1+Assumptions!G5)</f>
        <v>40804</v>
      </c>
      <c r="G4" s="75">
        <f>F4*(1+Assumptions!H5)</f>
        <v>41212.04</v>
      </c>
      <c r="H4" s="75">
        <f>G4*(1+Assumptions!I5)</f>
        <v>41624.160400000001</v>
      </c>
      <c r="I4" s="76"/>
      <c r="J4" s="76"/>
      <c r="K4" s="76"/>
      <c r="L4" s="76"/>
      <c r="M4" s="10"/>
      <c r="N4" s="10"/>
      <c r="O4" s="10"/>
      <c r="P4" s="10"/>
      <c r="Q4" s="10"/>
    </row>
    <row r="5" spans="1:17" ht="14.25">
      <c r="A5" s="10"/>
      <c r="B5" s="75"/>
      <c r="C5" s="10"/>
      <c r="D5" s="75"/>
      <c r="E5" s="75"/>
      <c r="F5" s="75"/>
      <c r="G5" s="75"/>
      <c r="H5" s="75"/>
      <c r="I5" s="76"/>
      <c r="J5" s="76"/>
      <c r="K5" s="76"/>
      <c r="L5" s="76"/>
      <c r="M5" s="10"/>
      <c r="N5" s="10"/>
      <c r="O5" s="10"/>
      <c r="P5" s="10"/>
      <c r="Q5" s="10"/>
    </row>
    <row r="6" spans="1:17" ht="14.25">
      <c r="A6" s="10"/>
      <c r="B6" s="75"/>
      <c r="C6" s="10"/>
      <c r="D6" s="75"/>
      <c r="E6" s="75"/>
      <c r="F6" s="75"/>
      <c r="G6" s="75"/>
      <c r="H6" s="75"/>
      <c r="I6" s="76"/>
      <c r="J6" s="76"/>
      <c r="K6" s="76"/>
      <c r="L6" s="76"/>
      <c r="M6" s="10"/>
      <c r="N6" s="10"/>
      <c r="O6" s="10"/>
      <c r="P6" s="10"/>
      <c r="Q6" s="10"/>
    </row>
    <row r="7" spans="1:17" ht="14.25">
      <c r="A7" s="10"/>
      <c r="B7" s="75"/>
      <c r="C7" s="10"/>
      <c r="D7" s="75"/>
      <c r="E7" s="75"/>
      <c r="F7" s="75"/>
      <c r="G7" s="75"/>
      <c r="H7" s="75"/>
      <c r="I7" s="76"/>
      <c r="J7" s="76"/>
      <c r="K7" s="76"/>
      <c r="L7" s="76"/>
      <c r="M7" s="10"/>
      <c r="N7" s="10"/>
      <c r="O7" s="10"/>
      <c r="P7" s="10"/>
      <c r="Q7" s="10"/>
    </row>
    <row r="8" spans="1:17" ht="14.25">
      <c r="A8" s="10"/>
      <c r="B8" s="75"/>
      <c r="C8" s="10"/>
      <c r="D8" s="75"/>
      <c r="E8" s="75"/>
      <c r="F8" s="75"/>
      <c r="G8" s="75"/>
      <c r="H8" s="75"/>
      <c r="I8" s="76"/>
      <c r="J8" s="76"/>
      <c r="K8" s="76"/>
      <c r="L8" s="76"/>
      <c r="M8" s="10"/>
      <c r="N8" s="10"/>
      <c r="O8" s="10"/>
      <c r="P8" s="10"/>
      <c r="Q8" s="10"/>
    </row>
    <row r="9" spans="1:17" ht="14.25">
      <c r="A9" s="10"/>
      <c r="B9" s="75"/>
      <c r="C9" s="10"/>
      <c r="D9" s="75"/>
      <c r="E9" s="75"/>
      <c r="F9" s="75"/>
      <c r="G9" s="75"/>
      <c r="H9" s="75"/>
      <c r="I9" s="76"/>
      <c r="J9" s="76"/>
      <c r="K9" s="76"/>
      <c r="L9" s="76"/>
      <c r="M9" s="10"/>
      <c r="N9" s="10"/>
      <c r="O9" s="10"/>
      <c r="P9" s="10"/>
      <c r="Q9" s="10"/>
    </row>
    <row r="10" spans="1:17" ht="14.25">
      <c r="A10" s="77"/>
      <c r="B10" s="77"/>
      <c r="C10" s="10"/>
      <c r="D10" s="77"/>
      <c r="E10" s="78"/>
      <c r="F10" s="77"/>
      <c r="G10" s="77"/>
      <c r="H10" s="78"/>
      <c r="I10" s="76"/>
      <c r="J10" s="76"/>
      <c r="K10" s="76"/>
      <c r="L10" s="76"/>
      <c r="M10" s="10"/>
      <c r="N10" s="10"/>
      <c r="O10" s="10"/>
      <c r="P10" s="10"/>
      <c r="Q10" s="10"/>
    </row>
    <row r="11" spans="1:17" ht="15">
      <c r="A11" s="79" t="s">
        <v>72</v>
      </c>
      <c r="B11" s="80">
        <f>B12+B13</f>
        <v>65944</v>
      </c>
      <c r="C11" s="81"/>
      <c r="D11" s="82">
        <f>D12+D13</f>
        <v>62050</v>
      </c>
      <c r="E11" s="82">
        <f t="shared" ref="E11:H11" si="0">E12+E13</f>
        <v>21189.61</v>
      </c>
      <c r="F11" s="82">
        <f t="shared" si="0"/>
        <v>3759.4584000000032</v>
      </c>
      <c r="G11" s="82">
        <f t="shared" si="0"/>
        <v>20451.094607000006</v>
      </c>
      <c r="H11" s="82">
        <f t="shared" si="0"/>
        <v>24533.315553070017</v>
      </c>
      <c r="I11" s="83"/>
      <c r="J11" s="76"/>
      <c r="K11" s="76"/>
      <c r="L11" s="76"/>
      <c r="M11" s="10"/>
      <c r="N11" s="10"/>
      <c r="O11" s="10"/>
      <c r="P11" s="10"/>
      <c r="Q11" s="10"/>
    </row>
    <row r="12" spans="1:17" ht="15">
      <c r="A12" s="84" t="s">
        <v>73</v>
      </c>
      <c r="B12" s="85">
        <f>B70</f>
        <v>65944</v>
      </c>
      <c r="C12" s="86"/>
      <c r="D12" s="86">
        <f>D70</f>
        <v>0</v>
      </c>
      <c r="E12" s="86">
        <f t="shared" ref="E12:H12" si="1">E70</f>
        <v>0</v>
      </c>
      <c r="F12" s="86">
        <f t="shared" si="1"/>
        <v>0</v>
      </c>
      <c r="G12" s="86">
        <f t="shared" si="1"/>
        <v>17889</v>
      </c>
      <c r="H12" s="86">
        <f t="shared" si="1"/>
        <v>20606</v>
      </c>
      <c r="I12" s="83"/>
      <c r="J12" s="76"/>
      <c r="K12" s="76"/>
      <c r="L12" s="76"/>
      <c r="M12" s="10"/>
      <c r="N12" s="10"/>
      <c r="O12" s="10"/>
      <c r="P12" s="10"/>
      <c r="Q12" s="10"/>
    </row>
    <row r="13" spans="1:17" ht="15">
      <c r="A13" s="87" t="s">
        <v>74</v>
      </c>
      <c r="B13" s="88">
        <f>B117</f>
        <v>0</v>
      </c>
      <c r="C13" s="86"/>
      <c r="D13" s="89">
        <f>D117</f>
        <v>62050</v>
      </c>
      <c r="E13" s="89">
        <f t="shared" ref="E13:H13" si="2">E117</f>
        <v>21189.61</v>
      </c>
      <c r="F13" s="89">
        <f t="shared" si="2"/>
        <v>3759.4584000000032</v>
      </c>
      <c r="G13" s="89">
        <f t="shared" si="2"/>
        <v>2562.0946070000064</v>
      </c>
      <c r="H13" s="89">
        <f t="shared" si="2"/>
        <v>3927.3155530700169</v>
      </c>
      <c r="I13" s="83"/>
      <c r="J13" s="76"/>
      <c r="K13" s="76"/>
      <c r="L13" s="76"/>
      <c r="M13" s="10"/>
      <c r="N13" s="10"/>
      <c r="O13" s="10"/>
      <c r="P13" s="10"/>
      <c r="Q13" s="10"/>
    </row>
    <row r="14" spans="1:17" ht="14.25">
      <c r="A14" s="90"/>
      <c r="B14" s="90"/>
      <c r="C14" s="77"/>
      <c r="D14" s="90"/>
      <c r="E14" s="91"/>
      <c r="F14" s="92"/>
      <c r="G14" s="92"/>
      <c r="H14" s="91"/>
      <c r="I14" s="76"/>
      <c r="J14" s="76"/>
      <c r="K14" s="76"/>
      <c r="L14" s="76"/>
      <c r="M14" s="10"/>
      <c r="N14" s="10"/>
      <c r="O14" s="10"/>
      <c r="P14" s="10"/>
      <c r="Q14" s="10"/>
    </row>
    <row r="15" spans="1:17" ht="14.25">
      <c r="A15" s="627" t="s">
        <v>75</v>
      </c>
      <c r="B15" s="628"/>
      <c r="C15" s="628"/>
      <c r="D15" s="629"/>
      <c r="E15" s="93"/>
      <c r="F15" s="77"/>
      <c r="G15" s="77"/>
      <c r="H15" s="78"/>
      <c r="I15" s="76"/>
      <c r="J15" s="76"/>
      <c r="K15" s="76"/>
      <c r="L15" s="76"/>
      <c r="M15" s="10"/>
      <c r="N15" s="10"/>
      <c r="O15" s="10"/>
      <c r="P15" s="10"/>
      <c r="Q15" s="10"/>
    </row>
    <row r="16" spans="1:17" ht="14.25">
      <c r="A16" s="94"/>
      <c r="B16" s="95" t="s">
        <v>76</v>
      </c>
      <c r="C16" s="96" t="s">
        <v>77</v>
      </c>
      <c r="D16" s="97" t="s">
        <v>78</v>
      </c>
      <c r="E16" s="97" t="s">
        <v>79</v>
      </c>
      <c r="F16" s="97" t="s">
        <v>80</v>
      </c>
      <c r="G16" s="97" t="s">
        <v>81</v>
      </c>
      <c r="H16" s="97" t="s">
        <v>82</v>
      </c>
      <c r="I16" s="83"/>
      <c r="J16" s="76"/>
      <c r="K16" s="76"/>
      <c r="L16" s="76"/>
      <c r="M16" s="10"/>
      <c r="N16" s="10"/>
      <c r="O16" s="10"/>
      <c r="P16" s="10"/>
      <c r="Q16" s="10"/>
    </row>
    <row r="17" spans="1:17" ht="15">
      <c r="A17" s="84" t="s">
        <v>83</v>
      </c>
      <c r="B17" s="98">
        <v>193</v>
      </c>
      <c r="C17" s="99">
        <f>Assumptions!D20</f>
        <v>0</v>
      </c>
      <c r="D17" s="100">
        <f>ROUND($B17*Assumptions!E20,0)</f>
        <v>47285</v>
      </c>
      <c r="E17" s="100">
        <f>ROUND($B17*Assumptions!F20,0)</f>
        <v>95535</v>
      </c>
      <c r="F17" s="100">
        <f>ROUND($B17*Assumptions!G20,0)</f>
        <v>134135</v>
      </c>
      <c r="G17" s="100">
        <f>ROUND($B17*Assumptions!H20,0)</f>
        <v>154400</v>
      </c>
      <c r="H17" s="100">
        <f>ROUND($B17*Assumptions!I20,0)</f>
        <v>154400</v>
      </c>
      <c r="I17" s="83"/>
      <c r="J17" s="76"/>
      <c r="K17" s="76"/>
      <c r="L17" s="76"/>
      <c r="M17" s="10"/>
      <c r="N17" s="10"/>
      <c r="O17" s="10"/>
      <c r="P17" s="10"/>
      <c r="Q17" s="10"/>
    </row>
    <row r="18" spans="1:17" ht="15">
      <c r="A18" s="84" t="s">
        <v>84</v>
      </c>
      <c r="B18" s="98">
        <v>52</v>
      </c>
      <c r="C18" s="99">
        <f>Assumptions!D19</f>
        <v>0</v>
      </c>
      <c r="D18" s="101">
        <f>ROUND($B18*Assumptions!E19,0)</f>
        <v>12740</v>
      </c>
      <c r="E18" s="101">
        <f>ROUND($B18*Assumptions!F19,0)</f>
        <v>25740</v>
      </c>
      <c r="F18" s="101">
        <f>ROUND($B18*Assumptions!G19,0)</f>
        <v>36140</v>
      </c>
      <c r="G18" s="101">
        <f>ROUND($B18*Assumptions!H19,0)</f>
        <v>41600</v>
      </c>
      <c r="H18" s="101">
        <f>ROUND($B18*Assumptions!I19,0)</f>
        <v>41600</v>
      </c>
      <c r="I18" s="83"/>
      <c r="J18" s="76"/>
      <c r="K18" s="76"/>
      <c r="L18" s="76"/>
      <c r="M18" s="10"/>
      <c r="N18" s="10"/>
      <c r="O18" s="10"/>
      <c r="P18" s="10"/>
      <c r="Q18" s="10"/>
    </row>
    <row r="19" spans="1:17" ht="15">
      <c r="A19" s="84" t="s">
        <v>85</v>
      </c>
      <c r="B19" s="98">
        <f>IF(Assumptions!C3="ES",95,IF(Assumptions!C3="K8",95,IF(Assumptions!C3="MS",95,IF(Assumptions!C3="6-12",95,0))))</f>
        <v>95</v>
      </c>
      <c r="C19" s="99">
        <f>Assumptions!F19</f>
        <v>495</v>
      </c>
      <c r="D19" s="101">
        <f>IF(Assumptions!$C$3="HS",0,(ROUND($B19*Assumptions!E22,0)))</f>
        <v>95</v>
      </c>
      <c r="E19" s="101">
        <f>IF(Assumptions!$C$3="HS",0,(ROUND($B19*Assumptions!F22,0)))</f>
        <v>190</v>
      </c>
      <c r="F19" s="101">
        <f>IF(Assumptions!$C$3="HS",0,(ROUND($B19*Assumptions!G22,0)))</f>
        <v>285</v>
      </c>
      <c r="G19" s="101">
        <f>IF(Assumptions!$C$3="HS",0,(ROUND($B19*Assumptions!H22,0)))</f>
        <v>380</v>
      </c>
      <c r="H19" s="101">
        <f>IF(Assumptions!$C$3="HS",0,(ROUND($B19*Assumptions!I22,0)))</f>
        <v>380</v>
      </c>
      <c r="I19" s="83"/>
      <c r="J19" s="76"/>
      <c r="K19" s="76"/>
      <c r="L19" s="76"/>
      <c r="M19" s="10"/>
      <c r="N19" s="10"/>
      <c r="O19" s="10"/>
      <c r="P19" s="10"/>
      <c r="Q19" s="10"/>
    </row>
    <row r="20" spans="1:17" ht="15">
      <c r="A20" s="84" t="s">
        <v>86</v>
      </c>
      <c r="B20" s="98">
        <f>IF(Assumptions!C3="ES",ROUND(B1/4,0),IF(Assumptions!C3="K8",ROUND(B1/4,0),0))</f>
        <v>0</v>
      </c>
      <c r="C20" s="99"/>
      <c r="D20" s="101">
        <f>IF(Assumptions!$C$3="HS",0,D1/4)</f>
        <v>16486</v>
      </c>
      <c r="E20" s="101">
        <f>IF(Assumptions!$C$3="HS",0,E1/4)</f>
        <v>16650.86</v>
      </c>
      <c r="F20" s="101">
        <f>IF(Assumptions!$C$3="HS",0,F1/4)</f>
        <v>16817.368600000002</v>
      </c>
      <c r="G20" s="101">
        <f>IF(Assumptions!$C$3="HS",0,G1/4)</f>
        <v>16985.542286000004</v>
      </c>
      <c r="H20" s="101">
        <f>IF(Assumptions!$C$3="HS",0,H1/4)</f>
        <v>17155.397708860004</v>
      </c>
      <c r="I20" s="83"/>
      <c r="J20" s="76"/>
      <c r="K20" s="76"/>
      <c r="L20" s="76"/>
      <c r="M20" s="10"/>
      <c r="N20" s="10"/>
      <c r="O20" s="10"/>
      <c r="P20" s="10"/>
      <c r="Q20" s="10"/>
    </row>
    <row r="21" spans="1:17" ht="15">
      <c r="A21" s="84" t="s">
        <v>87</v>
      </c>
      <c r="B21" s="98">
        <v>69</v>
      </c>
      <c r="C21" s="99">
        <f>Assumptions!D20</f>
        <v>0</v>
      </c>
      <c r="D21" s="101">
        <f>ROUND($B21*Assumptions!E20,0)</f>
        <v>16905</v>
      </c>
      <c r="E21" s="101">
        <f>ROUND($B21*Assumptions!F20,0)</f>
        <v>34155</v>
      </c>
      <c r="F21" s="101">
        <f>ROUND($B21*Assumptions!G20,0)</f>
        <v>47955</v>
      </c>
      <c r="G21" s="101">
        <f>ROUND($B21*Assumptions!H20,0)</f>
        <v>55200</v>
      </c>
      <c r="H21" s="101">
        <f>ROUND($B21*Assumptions!I20,0)</f>
        <v>55200</v>
      </c>
      <c r="I21" s="83"/>
      <c r="J21" s="76"/>
      <c r="K21" s="76"/>
      <c r="L21" s="76"/>
      <c r="M21" s="10"/>
      <c r="N21" s="10"/>
      <c r="O21" s="10"/>
      <c r="P21" s="10"/>
      <c r="Q21" s="10"/>
    </row>
    <row r="22" spans="1:17" ht="15">
      <c r="A22" s="84" t="s">
        <v>88</v>
      </c>
      <c r="B22" s="98">
        <v>22</v>
      </c>
      <c r="C22" s="99">
        <f>Assumptions!D19</f>
        <v>0</v>
      </c>
      <c r="D22" s="101">
        <f>ROUND($B22*Assumptions!E19,0)</f>
        <v>5390</v>
      </c>
      <c r="E22" s="101">
        <f>ROUND($B22*Assumptions!F19,0)</f>
        <v>10890</v>
      </c>
      <c r="F22" s="101">
        <f>ROUND($B22*Assumptions!G19,0)</f>
        <v>15290</v>
      </c>
      <c r="G22" s="101">
        <f>ROUND($B22*Assumptions!H19,0)</f>
        <v>17600</v>
      </c>
      <c r="H22" s="101">
        <f>ROUND($B22*Assumptions!I19,0)</f>
        <v>17600</v>
      </c>
      <c r="I22" s="83"/>
      <c r="J22" s="76"/>
      <c r="K22" s="76"/>
      <c r="L22" s="76"/>
      <c r="M22" s="10"/>
      <c r="N22" s="10"/>
      <c r="O22" s="10"/>
      <c r="P22" s="10"/>
      <c r="Q22" s="10"/>
    </row>
    <row r="23" spans="1:17" ht="15">
      <c r="A23" s="84" t="s">
        <v>89</v>
      </c>
      <c r="B23" s="98">
        <f>(IF(Assumptions!D20&lt;=200,0.5,IF(AND(Assumptions!D20&lt;=400,Assumptions!D20&gt;200),1,IF(AND(Assumptions!D20&lt;=549,Assumptions!D20&gt;400),1,IF(AND(Assumptions!D20&lt;=600,Assumptions!D20&gt;549),2,IF(AND(Assumptions!D20&lt;=1000,Assumptions!D20&gt;600),2,3))))))*B1</f>
        <v>32972</v>
      </c>
      <c r="C23" s="99"/>
      <c r="D23" s="101">
        <f>IF(OR(Assumptions!$C$3="ES",Assumptions!$C$3="K8"),((IF(Assumptions!E20&lt;=200,0.5,IF(AND(Assumptions!E20&lt;=400,Assumptions!E20&gt;200),1,IF(AND(Assumptions!E20&lt;=549,Assumptions!E20&gt;400),1,IF(AND(Assumptions!E20&lt;=600,Assumptions!E20&gt;549),2,IF(AND(Assumptions!E20&lt;=1000,Assumptions!E20&gt;600),2,3))))))*D1),0)</f>
        <v>0</v>
      </c>
      <c r="E23" s="101">
        <f>IF(OR(Assumptions!$C$3="ES",Assumptions!$C$3="K8"),((IF(Assumptions!F20&lt;=200,0.5,IF(AND(Assumptions!F20&lt;=400,Assumptions!F20&gt;200),1,IF(AND(Assumptions!F20&lt;=549,Assumptions!F20&gt;400),1,IF(AND(Assumptions!F20&lt;=600,Assumptions!F20&gt;549),2,IF(AND(Assumptions!F20&lt;=1000,Assumptions!F20&gt;600),2,3))))))*E1),0)</f>
        <v>0</v>
      </c>
      <c r="F23" s="101">
        <f>IF(OR(Assumptions!$C$3="ES",Assumptions!$C$3="K8"),((IF(Assumptions!G20&lt;=200,0.5,IF(AND(Assumptions!G20&lt;=400,Assumptions!G20&gt;200),1,IF(AND(Assumptions!G20&lt;=549,Assumptions!G20&gt;400),1,IF(AND(Assumptions!G20&lt;=600,Assumptions!G20&gt;549),2,IF(AND(Assumptions!G20&lt;=1000,Assumptions!G20&gt;600),2,3))))))*F1),0)</f>
        <v>0</v>
      </c>
      <c r="G23" s="101">
        <f>IF(OR(Assumptions!$C$3="ES",Assumptions!$C$3="K8"),((IF(Assumptions!H20&lt;=200,0.5,IF(AND(Assumptions!H20&lt;=400,Assumptions!H20&gt;200),1,IF(AND(Assumptions!H20&lt;=549,Assumptions!H20&gt;400),1,IF(AND(Assumptions!H20&lt;=600,Assumptions!H20&gt;549),2,IF(AND(Assumptions!H20&lt;=1000,Assumptions!H20&gt;600),2,3))))))*G1),0)</f>
        <v>0</v>
      </c>
      <c r="H23" s="101">
        <f>IF(OR(Assumptions!$C$3="ES",Assumptions!$C$3="K8"),((IF(Assumptions!I20&lt;=200,0.5,IF(AND(Assumptions!I20&lt;=400,Assumptions!I20&gt;200),1,IF(AND(Assumptions!I20&lt;=549,Assumptions!I20&gt;400),1,IF(AND(Assumptions!I20&lt;=600,Assumptions!I20&gt;549),2,IF(AND(Assumptions!I20&lt;=1000,Assumptions!I20&gt;600),2,3))))))*H1),0)</f>
        <v>0</v>
      </c>
      <c r="I23" s="83"/>
      <c r="J23" s="76"/>
      <c r="K23" s="76"/>
      <c r="L23" s="76"/>
      <c r="M23" s="10"/>
      <c r="N23" s="10"/>
      <c r="O23" s="10"/>
      <c r="P23" s="10"/>
      <c r="Q23" s="10"/>
    </row>
    <row r="24" spans="1:17" ht="15">
      <c r="A24" s="84" t="s">
        <v>90</v>
      </c>
      <c r="B24" s="98">
        <v>7</v>
      </c>
      <c r="C24" s="99">
        <f>SUM(Assumptions!D15:D17)</f>
        <v>0</v>
      </c>
      <c r="D24" s="101">
        <f>IF(OR(Assumptions!$C$3="ES",Assumptions!$C$3="K8"),(ROUND($B24*(SUM(Assumptions!E15:E17)),0)),0)</f>
        <v>0</v>
      </c>
      <c r="E24" s="101">
        <f>IF(OR(Assumptions!$C$3="ES",Assumptions!$C$3="K8"),(ROUND($B24*(SUM(Assumptions!F15:F17)),0)),0)</f>
        <v>0</v>
      </c>
      <c r="F24" s="101">
        <f>IF(OR(Assumptions!$C$3="ES",Assumptions!$C$3="K8"),(ROUND($B24*(SUM(Assumptions!G15:G17)),0)),0)</f>
        <v>0</v>
      </c>
      <c r="G24" s="101">
        <f>IF(OR(Assumptions!$C$3="ES",Assumptions!$C$3="K8"),(ROUND($B24*(SUM(Assumptions!H15:H17)),0)),0)</f>
        <v>0</v>
      </c>
      <c r="H24" s="101">
        <f>IF(OR(Assumptions!$C$3="ES",Assumptions!$C$3="K8"),(ROUND($B24*(SUM(Assumptions!I15:I17)),0)),0)</f>
        <v>0</v>
      </c>
      <c r="I24" s="83"/>
      <c r="J24" s="76"/>
      <c r="K24" s="76"/>
      <c r="L24" s="76"/>
      <c r="M24" s="10"/>
      <c r="N24" s="10"/>
      <c r="O24" s="10"/>
      <c r="P24" s="10"/>
      <c r="Q24" s="10"/>
    </row>
    <row r="25" spans="1:17" ht="15">
      <c r="A25" s="84" t="s">
        <v>91</v>
      </c>
      <c r="B25" s="98">
        <v>10</v>
      </c>
      <c r="C25" s="99">
        <f>SUM(Assumptions!D15:D18)</f>
        <v>0</v>
      </c>
      <c r="D25" s="101">
        <f>ROUND($B25*SUM(Assumptions!E15:E18),0)</f>
        <v>2450</v>
      </c>
      <c r="E25" s="101">
        <f>ROUND($B25*SUM(Assumptions!F15:F18),0)</f>
        <v>4950</v>
      </c>
      <c r="F25" s="101">
        <f>ROUND($B25*SUM(Assumptions!G15:G18),0)</f>
        <v>6950</v>
      </c>
      <c r="G25" s="101">
        <f>ROUND($B25*SUM(Assumptions!H15:H18),0)</f>
        <v>8000</v>
      </c>
      <c r="H25" s="101">
        <f>ROUND($B25*SUM(Assumptions!I15:I18),0)</f>
        <v>8000</v>
      </c>
      <c r="I25" s="83"/>
      <c r="J25" s="76"/>
      <c r="K25" s="76"/>
      <c r="L25" s="76"/>
      <c r="M25" s="10"/>
      <c r="N25" s="10"/>
      <c r="O25" s="10"/>
      <c r="P25" s="10"/>
      <c r="Q25" s="10"/>
    </row>
    <row r="26" spans="1:17" ht="15">
      <c r="A26" s="84" t="s">
        <v>92</v>
      </c>
      <c r="B26" s="98">
        <v>6</v>
      </c>
      <c r="C26" s="99">
        <f>SUM(Assumptions!D19)</f>
        <v>0</v>
      </c>
      <c r="D26" s="101">
        <f>ROUND($B26*Assumptions!E19,0)</f>
        <v>1470</v>
      </c>
      <c r="E26" s="101">
        <f>ROUND($B26*Assumptions!F19,0)</f>
        <v>2970</v>
      </c>
      <c r="F26" s="101">
        <f>ROUND($B26*Assumptions!G19,0)</f>
        <v>4170</v>
      </c>
      <c r="G26" s="101">
        <f>ROUND($B26*Assumptions!H19,0)</f>
        <v>4800</v>
      </c>
      <c r="H26" s="101">
        <f>ROUND($B26*Assumptions!I19,0)</f>
        <v>4800</v>
      </c>
      <c r="I26" s="83"/>
      <c r="J26" s="76"/>
      <c r="K26" s="76"/>
      <c r="L26" s="76"/>
      <c r="M26" s="10"/>
      <c r="N26" s="10"/>
      <c r="O26" s="10"/>
      <c r="P26" s="10"/>
      <c r="Q26" s="10"/>
    </row>
    <row r="27" spans="1:17" ht="15">
      <c r="A27" s="84" t="s">
        <v>93</v>
      </c>
      <c r="B27" s="98">
        <v>90000</v>
      </c>
      <c r="C27" s="99"/>
      <c r="D27" s="102">
        <f>IF(OR(Assumptions!$C$3="ES",Assumptions!$C$3="K8"),(ROUND(D3*Assumptions!E25,0)),0)</f>
        <v>0</v>
      </c>
      <c r="E27" s="102">
        <f>IF(OR(Assumptions!$C$3="ES",Assumptions!$C$3="K8"),(ROUND(E3*Assumptions!F25,0)),0)</f>
        <v>0</v>
      </c>
      <c r="F27" s="102">
        <f>IF(OR(Assumptions!$C$3="ES",Assumptions!$C$3="K8"),(ROUND(F3*Assumptions!G25,0)),0)</f>
        <v>0</v>
      </c>
      <c r="G27" s="102">
        <f>IF(OR(Assumptions!$C$3="ES",Assumptions!$C$3="K8"),(ROUND(G3*Assumptions!H25,0)),0)</f>
        <v>0</v>
      </c>
      <c r="H27" s="102">
        <f>IF(OR(Assumptions!$C$3="ES",Assumptions!$C$3="K8"),(ROUND(H3*Assumptions!I25,0)),0)</f>
        <v>0</v>
      </c>
      <c r="I27" s="83"/>
      <c r="J27" s="76"/>
      <c r="K27" s="76"/>
      <c r="L27" s="76"/>
      <c r="M27" s="10"/>
      <c r="N27" s="10"/>
      <c r="O27" s="10"/>
      <c r="P27" s="10"/>
      <c r="Q27" s="10"/>
    </row>
    <row r="28" spans="1:17" ht="15">
      <c r="A28" s="84" t="s">
        <v>94</v>
      </c>
      <c r="B28" s="98">
        <v>40000</v>
      </c>
      <c r="C28" s="99"/>
      <c r="D28" s="103">
        <f>IF(OR(Assumptions!$C$3="ES",Assumptions!$C$3="K8"),(ROUND($B$28*Assumptions!E26,0)),0)</f>
        <v>0</v>
      </c>
      <c r="E28" s="103">
        <f>IF(OR(Assumptions!$C$3="ES",Assumptions!$C$3="K8"),(ROUND($B$28*Assumptions!F26,0)),0)</f>
        <v>0</v>
      </c>
      <c r="F28" s="103">
        <f>IF(OR(Assumptions!$C$3="ES",Assumptions!$C$3="K8"),(ROUND($B$28*Assumptions!G26,0)),0)</f>
        <v>0</v>
      </c>
      <c r="G28" s="103">
        <f>IF(OR(Assumptions!$C$3="ES",Assumptions!$C$3="K8"),(ROUND($B$28*Assumptions!H26,0)),0)</f>
        <v>0</v>
      </c>
      <c r="H28" s="103">
        <f>IF(OR(Assumptions!$C$3="ES",Assumptions!$C$3="K8"),(ROUND($B$28*Assumptions!I26,0)),0)</f>
        <v>0</v>
      </c>
      <c r="I28" s="83"/>
      <c r="J28" s="76"/>
      <c r="K28" s="76"/>
      <c r="L28" s="76"/>
      <c r="M28" s="10"/>
      <c r="N28" s="10"/>
      <c r="O28" s="10"/>
      <c r="P28" s="10"/>
      <c r="Q28" s="10"/>
    </row>
    <row r="29" spans="1:17" ht="15">
      <c r="A29" s="84" t="s">
        <v>95</v>
      </c>
      <c r="B29" s="98">
        <v>408</v>
      </c>
      <c r="C29" s="99">
        <f>IF(Assumptions!E30&gt;66%,ROUND(Assumptions!E20*Assumptions!E30,0),0)</f>
        <v>208</v>
      </c>
      <c r="D29" s="103">
        <f>IF(Assumptions!E30&gt;66%,ROUND(Assumptions!E20*Assumptions!E30,0),0)*$B$29</f>
        <v>84864</v>
      </c>
      <c r="E29" s="103">
        <f>IF(Assumptions!E30&gt;66%,ROUND(Assumptions!E20*Assumptions!E30,0),0)*$B$29</f>
        <v>84864</v>
      </c>
      <c r="F29" s="103">
        <f>IF(Assumptions!F30&gt;66%,ROUND(Assumptions!F20*Assumptions!F30,0),0)*$B$29</f>
        <v>171768</v>
      </c>
      <c r="G29" s="103">
        <f>IF(Assumptions!G30&gt;66%,ROUND(Assumptions!G20*Assumptions!G30,0),0)*$B$29</f>
        <v>241128</v>
      </c>
      <c r="H29" s="103">
        <f>IF(Assumptions!H30&gt;66%,ROUND(Assumptions!H20*Assumptions!H30,0),0)*$B$29</f>
        <v>277440</v>
      </c>
      <c r="I29" s="83"/>
      <c r="J29" s="76"/>
      <c r="K29" s="76"/>
      <c r="L29" s="76"/>
      <c r="M29" s="10"/>
      <c r="N29" s="10"/>
      <c r="O29" s="10"/>
      <c r="P29" s="10"/>
      <c r="Q29" s="10"/>
    </row>
    <row r="30" spans="1:17" ht="15">
      <c r="A30" s="87" t="s">
        <v>96</v>
      </c>
      <c r="B30" s="104">
        <v>38</v>
      </c>
      <c r="C30" s="105">
        <f>Assumptions!E20</f>
        <v>245</v>
      </c>
      <c r="D30" s="106">
        <f>ROUND($B$30*Assumptions!E20,0)</f>
        <v>9310</v>
      </c>
      <c r="E30" s="106">
        <f>ROUND($B$30*Assumptions!F20,0)</f>
        <v>18810</v>
      </c>
      <c r="F30" s="106">
        <f>ROUND($B$30*Assumptions!G20,0)</f>
        <v>26410</v>
      </c>
      <c r="G30" s="106">
        <f>ROUND($B$30*Assumptions!H20,0)</f>
        <v>30400</v>
      </c>
      <c r="H30" s="106">
        <f>ROUND($B$30*Assumptions!I20,0)</f>
        <v>30400</v>
      </c>
      <c r="I30" s="83"/>
      <c r="J30" s="76"/>
      <c r="K30" s="76"/>
      <c r="L30" s="76"/>
      <c r="M30" s="10"/>
      <c r="N30" s="10"/>
      <c r="O30" s="10"/>
      <c r="P30" s="10"/>
      <c r="Q30" s="10"/>
    </row>
    <row r="31" spans="1:17" ht="14.25">
      <c r="A31" s="91"/>
      <c r="B31" s="91"/>
      <c r="C31" s="91"/>
      <c r="D31" s="107"/>
      <c r="E31" s="91"/>
      <c r="F31" s="92"/>
      <c r="G31" s="92"/>
      <c r="H31" s="91"/>
      <c r="I31" s="76"/>
      <c r="J31" s="76"/>
      <c r="K31" s="76"/>
      <c r="L31" s="76"/>
      <c r="M31" s="10"/>
      <c r="N31" s="10"/>
      <c r="O31" s="10"/>
      <c r="P31" s="10"/>
      <c r="Q31" s="10"/>
    </row>
    <row r="32" spans="1:17" ht="14.25">
      <c r="A32" s="78"/>
      <c r="B32" s="78"/>
      <c r="C32" s="78"/>
      <c r="D32" s="77"/>
      <c r="E32" s="78"/>
      <c r="F32" s="77"/>
      <c r="G32" s="77"/>
      <c r="H32" s="78"/>
      <c r="I32" s="76"/>
      <c r="J32" s="76"/>
      <c r="K32" s="76"/>
      <c r="L32" s="76"/>
      <c r="M32" s="10"/>
      <c r="N32" s="10"/>
      <c r="O32" s="10"/>
      <c r="P32" s="10"/>
      <c r="Q32" s="10"/>
    </row>
    <row r="33" spans="1:17" ht="14.25">
      <c r="A33" s="627" t="s">
        <v>97</v>
      </c>
      <c r="B33" s="628"/>
      <c r="C33" s="629"/>
      <c r="D33" s="97" t="s">
        <v>78</v>
      </c>
      <c r="E33" s="97" t="s">
        <v>79</v>
      </c>
      <c r="F33" s="97" t="s">
        <v>80</v>
      </c>
      <c r="G33" s="97" t="s">
        <v>81</v>
      </c>
      <c r="H33" s="97" t="s">
        <v>82</v>
      </c>
      <c r="I33" s="83"/>
      <c r="J33" s="76"/>
      <c r="K33" s="76"/>
      <c r="L33" s="76"/>
      <c r="M33" s="10"/>
      <c r="N33" s="10"/>
      <c r="O33" s="10"/>
      <c r="P33" s="10"/>
      <c r="Q33" s="10"/>
    </row>
    <row r="34" spans="1:17" ht="14.25">
      <c r="A34" s="108"/>
      <c r="B34" s="91"/>
      <c r="C34" s="109"/>
      <c r="D34" s="110"/>
      <c r="E34" s="111"/>
      <c r="F34" s="110"/>
      <c r="G34" s="110"/>
      <c r="H34" s="111"/>
      <c r="I34" s="83"/>
      <c r="J34" s="76"/>
      <c r="K34" s="76"/>
      <c r="L34" s="76"/>
      <c r="M34" s="10"/>
      <c r="N34" s="10"/>
      <c r="O34" s="10"/>
      <c r="P34" s="10"/>
      <c r="Q34" s="10"/>
    </row>
    <row r="35" spans="1:17" ht="14.25">
      <c r="A35" s="83"/>
      <c r="B35" s="76"/>
      <c r="C35" s="112"/>
      <c r="D35" s="81"/>
      <c r="E35" s="113"/>
      <c r="F35" s="81"/>
      <c r="G35" s="81"/>
      <c r="H35" s="113"/>
      <c r="I35" s="83"/>
      <c r="J35" s="76"/>
      <c r="K35" s="76"/>
      <c r="L35" s="76"/>
      <c r="M35" s="10"/>
      <c r="N35" s="10"/>
      <c r="O35" s="10"/>
      <c r="P35" s="10"/>
      <c r="Q35" s="10"/>
    </row>
    <row r="36" spans="1:17" ht="14.25">
      <c r="A36" s="83"/>
      <c r="B36" s="76"/>
      <c r="C36" s="112"/>
      <c r="D36" s="81"/>
      <c r="E36" s="113"/>
      <c r="F36" s="81"/>
      <c r="G36" s="81"/>
      <c r="H36" s="113"/>
      <c r="I36" s="83"/>
      <c r="J36" s="76"/>
      <c r="K36" s="76"/>
      <c r="L36" s="76"/>
      <c r="M36" s="10"/>
      <c r="N36" s="10"/>
      <c r="O36" s="10"/>
      <c r="P36" s="10"/>
      <c r="Q36" s="10"/>
    </row>
    <row r="37" spans="1:17" ht="15">
      <c r="A37" s="84" t="s">
        <v>98</v>
      </c>
      <c r="B37" s="114"/>
      <c r="C37" s="115">
        <f>Assumptions!D20</f>
        <v>0</v>
      </c>
      <c r="D37" s="81">
        <f>Assumptions!E20</f>
        <v>245</v>
      </c>
      <c r="E37" s="81">
        <f>Assumptions!F20</f>
        <v>495</v>
      </c>
      <c r="F37" s="81">
        <f>Assumptions!G20</f>
        <v>695</v>
      </c>
      <c r="G37" s="81">
        <f>Assumptions!H20</f>
        <v>800</v>
      </c>
      <c r="H37" s="81">
        <f>Assumptions!I20</f>
        <v>800</v>
      </c>
      <c r="I37" s="83"/>
      <c r="J37" s="76"/>
      <c r="K37" s="76"/>
      <c r="L37" s="76"/>
      <c r="M37" s="10"/>
      <c r="N37" s="10"/>
      <c r="O37" s="10"/>
      <c r="P37" s="10"/>
      <c r="Q37" s="10"/>
    </row>
    <row r="38" spans="1:17" ht="15">
      <c r="A38" s="84" t="s">
        <v>99</v>
      </c>
      <c r="B38" s="116">
        <f>VLOOKUP(Assumptions!C3,$A$46:$B$50,2,FALSE)</f>
        <v>3332</v>
      </c>
      <c r="C38" s="115">
        <f>$B$38*C37</f>
        <v>0</v>
      </c>
      <c r="D38" s="117">
        <f t="shared" ref="D38:H38" si="3">$B$38*D37</f>
        <v>816340</v>
      </c>
      <c r="E38" s="117">
        <f t="shared" si="3"/>
        <v>1649340</v>
      </c>
      <c r="F38" s="117">
        <f t="shared" si="3"/>
        <v>2315740</v>
      </c>
      <c r="G38" s="117">
        <f t="shared" si="3"/>
        <v>2665600</v>
      </c>
      <c r="H38" s="117">
        <f t="shared" si="3"/>
        <v>2665600</v>
      </c>
      <c r="I38" s="83"/>
      <c r="J38" s="76"/>
      <c r="K38" s="76"/>
      <c r="L38" s="76"/>
      <c r="M38" s="10"/>
      <c r="N38" s="10"/>
      <c r="O38" s="10"/>
      <c r="P38" s="10"/>
      <c r="Q38" s="10"/>
    </row>
    <row r="39" spans="1:17" ht="15">
      <c r="A39" s="84" t="s">
        <v>100</v>
      </c>
      <c r="B39" s="118">
        <f>$B$46-B38</f>
        <v>3</v>
      </c>
      <c r="C39" s="115">
        <f>$B$39*C37</f>
        <v>0</v>
      </c>
      <c r="D39" s="117">
        <f t="shared" ref="D39:H39" si="4">$B$39*D37</f>
        <v>735</v>
      </c>
      <c r="E39" s="117">
        <f t="shared" si="4"/>
        <v>1485</v>
      </c>
      <c r="F39" s="117">
        <f t="shared" si="4"/>
        <v>2085</v>
      </c>
      <c r="G39" s="117">
        <f t="shared" si="4"/>
        <v>2400</v>
      </c>
      <c r="H39" s="117">
        <f t="shared" si="4"/>
        <v>2400</v>
      </c>
      <c r="I39" s="83"/>
      <c r="J39" s="76"/>
      <c r="K39" s="76"/>
      <c r="L39" s="76"/>
      <c r="M39" s="10"/>
      <c r="N39" s="10"/>
      <c r="O39" s="10"/>
      <c r="P39" s="10"/>
      <c r="Q39" s="10"/>
    </row>
    <row r="40" spans="1:17" ht="15">
      <c r="A40" s="119" t="s">
        <v>101</v>
      </c>
      <c r="B40" s="114"/>
      <c r="C40" s="115">
        <f>C38</f>
        <v>0</v>
      </c>
      <c r="D40" s="117">
        <f t="shared" ref="D40:H40" si="5">D38</f>
        <v>816340</v>
      </c>
      <c r="E40" s="117">
        <f t="shared" si="5"/>
        <v>1649340</v>
      </c>
      <c r="F40" s="117">
        <f t="shared" si="5"/>
        <v>2315740</v>
      </c>
      <c r="G40" s="117">
        <f t="shared" si="5"/>
        <v>2665600</v>
      </c>
      <c r="H40" s="117">
        <f t="shared" si="5"/>
        <v>2665600</v>
      </c>
      <c r="I40" s="83"/>
      <c r="J40" s="76"/>
      <c r="K40" s="76"/>
      <c r="L40" s="76"/>
      <c r="M40" s="10"/>
      <c r="N40" s="10"/>
      <c r="O40" s="10"/>
      <c r="P40" s="10"/>
      <c r="Q40" s="10"/>
    </row>
    <row r="41" spans="1:17" ht="15">
      <c r="A41" s="119" t="s">
        <v>102</v>
      </c>
      <c r="B41" s="114"/>
      <c r="C41" s="115">
        <f>C39</f>
        <v>0</v>
      </c>
      <c r="D41" s="117">
        <f t="shared" ref="D41:H41" si="6">D39</f>
        <v>735</v>
      </c>
      <c r="E41" s="117">
        <f t="shared" si="6"/>
        <v>1485</v>
      </c>
      <c r="F41" s="117">
        <f t="shared" si="6"/>
        <v>2085</v>
      </c>
      <c r="G41" s="117">
        <f t="shared" si="6"/>
        <v>2400</v>
      </c>
      <c r="H41" s="117">
        <f t="shared" si="6"/>
        <v>2400</v>
      </c>
      <c r="I41" s="83"/>
      <c r="J41" s="76"/>
      <c r="K41" s="76"/>
      <c r="L41" s="76"/>
      <c r="M41" s="10"/>
      <c r="N41" s="10"/>
      <c r="O41" s="10"/>
      <c r="P41" s="10"/>
      <c r="Q41" s="10"/>
    </row>
    <row r="42" spans="1:17" ht="15">
      <c r="A42" s="120" t="s">
        <v>103</v>
      </c>
      <c r="B42" s="121"/>
      <c r="C42" s="122">
        <f>C41</f>
        <v>0</v>
      </c>
      <c r="D42" s="123">
        <f t="shared" ref="D42:H42" si="7">D41</f>
        <v>735</v>
      </c>
      <c r="E42" s="123">
        <f t="shared" si="7"/>
        <v>1485</v>
      </c>
      <c r="F42" s="123">
        <f t="shared" si="7"/>
        <v>2085</v>
      </c>
      <c r="G42" s="123">
        <f t="shared" si="7"/>
        <v>2400</v>
      </c>
      <c r="H42" s="123">
        <f t="shared" si="7"/>
        <v>2400</v>
      </c>
      <c r="I42" s="83"/>
      <c r="J42" s="76"/>
      <c r="K42" s="76"/>
      <c r="L42" s="76"/>
      <c r="M42" s="10"/>
      <c r="N42" s="10"/>
      <c r="O42" s="10"/>
      <c r="P42" s="10"/>
      <c r="Q42" s="10"/>
    </row>
    <row r="43" spans="1:17" ht="15">
      <c r="A43" s="124" t="s">
        <v>104</v>
      </c>
      <c r="B43" s="125"/>
      <c r="C43" s="126">
        <f>C42+C40</f>
        <v>0</v>
      </c>
      <c r="D43" s="127">
        <f t="shared" ref="D43:H43" si="8">D42+D40</f>
        <v>817075</v>
      </c>
      <c r="E43" s="128">
        <f t="shared" si="8"/>
        <v>1650825</v>
      </c>
      <c r="F43" s="128">
        <f t="shared" si="8"/>
        <v>2317825</v>
      </c>
      <c r="G43" s="128">
        <f t="shared" si="8"/>
        <v>2668000</v>
      </c>
      <c r="H43" s="128">
        <f t="shared" si="8"/>
        <v>2668000</v>
      </c>
      <c r="I43" s="83"/>
      <c r="J43" s="76"/>
      <c r="K43" s="76"/>
      <c r="L43" s="76"/>
      <c r="M43" s="10"/>
      <c r="N43" s="10"/>
      <c r="O43" s="10"/>
      <c r="P43" s="10"/>
      <c r="Q43" s="10"/>
    </row>
    <row r="44" spans="1:17" ht="14.25">
      <c r="A44" s="108"/>
      <c r="B44" s="91"/>
      <c r="C44" s="109"/>
      <c r="D44" s="94"/>
      <c r="E44" s="91"/>
      <c r="F44" s="92"/>
      <c r="G44" s="92"/>
      <c r="H44" s="91"/>
      <c r="I44" s="76"/>
      <c r="J44" s="76"/>
      <c r="K44" s="76"/>
      <c r="L44" s="76"/>
      <c r="M44" s="10"/>
      <c r="N44" s="10"/>
      <c r="O44" s="10"/>
      <c r="P44" s="10"/>
      <c r="Q44" s="10"/>
    </row>
    <row r="45" spans="1:17" ht="14.25">
      <c r="A45" s="83"/>
      <c r="B45" s="76"/>
      <c r="C45" s="112"/>
      <c r="D45" s="28"/>
      <c r="E45" s="76"/>
      <c r="F45" s="10"/>
      <c r="G45" s="10"/>
      <c r="H45" s="76"/>
      <c r="I45" s="76"/>
      <c r="J45" s="76"/>
      <c r="K45" s="76"/>
      <c r="L45" s="76"/>
      <c r="M45" s="10"/>
      <c r="N45" s="10"/>
      <c r="O45" s="10"/>
      <c r="P45" s="10"/>
      <c r="Q45" s="10"/>
    </row>
    <row r="46" spans="1:17" ht="14.25">
      <c r="A46" s="83" t="s">
        <v>49</v>
      </c>
      <c r="B46" s="129">
        <v>3335</v>
      </c>
      <c r="C46" s="112"/>
      <c r="D46" s="28"/>
      <c r="E46" s="76"/>
      <c r="F46" s="10"/>
      <c r="G46" s="10"/>
      <c r="H46" s="76"/>
      <c r="I46" s="76"/>
      <c r="J46" s="76"/>
      <c r="K46" s="76"/>
      <c r="L46" s="76"/>
      <c r="M46" s="10"/>
      <c r="N46" s="10"/>
      <c r="O46" s="10"/>
      <c r="P46" s="10"/>
      <c r="Q46" s="10"/>
    </row>
    <row r="47" spans="1:17" ht="14.25">
      <c r="A47" s="83" t="s">
        <v>54</v>
      </c>
      <c r="B47" s="129">
        <v>3335</v>
      </c>
      <c r="C47" s="112"/>
      <c r="D47" s="28"/>
      <c r="E47" s="76"/>
      <c r="F47" s="10"/>
      <c r="G47" s="10"/>
      <c r="H47" s="76"/>
      <c r="I47" s="76"/>
      <c r="J47" s="76"/>
      <c r="K47" s="76"/>
      <c r="L47" s="76"/>
      <c r="M47" s="10"/>
      <c r="N47" s="10"/>
      <c r="O47" s="10"/>
      <c r="P47" s="10"/>
      <c r="Q47" s="10"/>
    </row>
    <row r="48" spans="1:17" ht="14.25">
      <c r="A48" s="83" t="s">
        <v>57</v>
      </c>
      <c r="B48" s="129">
        <v>3278</v>
      </c>
      <c r="C48" s="112"/>
      <c r="D48" s="28"/>
      <c r="E48" s="76"/>
      <c r="F48" s="10"/>
      <c r="G48" s="10"/>
      <c r="H48" s="76"/>
      <c r="I48" s="76"/>
      <c r="J48" s="76"/>
      <c r="K48" s="76"/>
      <c r="L48" s="76"/>
      <c r="M48" s="10"/>
      <c r="N48" s="10"/>
      <c r="O48" s="10"/>
      <c r="P48" s="10"/>
      <c r="Q48" s="10"/>
    </row>
    <row r="49" spans="1:17" ht="14.25">
      <c r="A49" s="83" t="s">
        <v>10</v>
      </c>
      <c r="B49" s="129">
        <v>3332</v>
      </c>
      <c r="C49" s="112"/>
      <c r="D49" s="28"/>
      <c r="E49" s="76"/>
      <c r="F49" s="10"/>
      <c r="G49" s="10"/>
      <c r="H49" s="76"/>
      <c r="I49" s="76"/>
      <c r="J49" s="76"/>
      <c r="K49" s="76"/>
      <c r="L49" s="76"/>
      <c r="M49" s="10"/>
      <c r="N49" s="10"/>
      <c r="O49" s="10"/>
      <c r="P49" s="10"/>
      <c r="Q49" s="10"/>
    </row>
    <row r="50" spans="1:17" ht="14.25">
      <c r="A50" s="93" t="s">
        <v>65</v>
      </c>
      <c r="B50" s="130">
        <v>3181</v>
      </c>
      <c r="C50" s="131"/>
      <c r="D50" s="28"/>
      <c r="E50" s="76"/>
      <c r="F50" s="10"/>
      <c r="G50" s="10"/>
      <c r="H50" s="76"/>
      <c r="I50" s="76"/>
      <c r="J50" s="76"/>
      <c r="K50" s="76"/>
      <c r="L50" s="76"/>
      <c r="M50" s="10"/>
      <c r="N50" s="10"/>
      <c r="O50" s="10"/>
      <c r="P50" s="10"/>
      <c r="Q50" s="10"/>
    </row>
    <row r="51" spans="1:17" ht="14.25">
      <c r="A51" s="132"/>
      <c r="B51" s="132"/>
      <c r="C51" s="132"/>
      <c r="D51" s="77"/>
      <c r="E51" s="78"/>
      <c r="F51" s="77"/>
      <c r="G51" s="77"/>
      <c r="H51" s="78"/>
      <c r="I51" s="76"/>
      <c r="J51" s="76"/>
      <c r="K51" s="76"/>
      <c r="L51" s="76"/>
      <c r="M51" s="10"/>
      <c r="N51" s="10"/>
      <c r="O51" s="10"/>
      <c r="P51" s="10"/>
      <c r="Q51" s="10"/>
    </row>
    <row r="52" spans="1:17" ht="14.25">
      <c r="A52" s="630" t="s">
        <v>105</v>
      </c>
      <c r="B52" s="631"/>
      <c r="C52" s="133"/>
      <c r="D52" s="97" t="s">
        <v>78</v>
      </c>
      <c r="E52" s="97" t="s">
        <v>79</v>
      </c>
      <c r="F52" s="97" t="s">
        <v>80</v>
      </c>
      <c r="G52" s="97" t="s">
        <v>81</v>
      </c>
      <c r="H52" s="97" t="s">
        <v>82</v>
      </c>
      <c r="I52" s="83"/>
      <c r="J52" s="10"/>
      <c r="K52" s="10"/>
      <c r="L52" s="10"/>
      <c r="M52" s="10"/>
      <c r="N52" s="10"/>
      <c r="O52" s="10"/>
      <c r="P52" s="10"/>
      <c r="Q52" s="10"/>
    </row>
    <row r="53" spans="1:17" ht="15">
      <c r="A53" s="79" t="s">
        <v>98</v>
      </c>
      <c r="B53" s="134">
        <f>Assumptions!D20</f>
        <v>0</v>
      </c>
      <c r="C53" s="110"/>
      <c r="D53" s="82">
        <f>Assumptions!E20</f>
        <v>245</v>
      </c>
      <c r="E53" s="82">
        <f>Assumptions!F20</f>
        <v>495</v>
      </c>
      <c r="F53" s="82">
        <f>Assumptions!G20</f>
        <v>695</v>
      </c>
      <c r="G53" s="82">
        <f>Assumptions!H20</f>
        <v>800</v>
      </c>
      <c r="H53" s="82">
        <f>Assumptions!I20</f>
        <v>800</v>
      </c>
      <c r="I53" s="83"/>
      <c r="J53" s="10"/>
      <c r="K53" s="10"/>
      <c r="L53" s="10"/>
      <c r="M53" s="10"/>
      <c r="N53" s="10"/>
      <c r="O53" s="10"/>
      <c r="P53" s="10"/>
      <c r="Q53" s="10"/>
    </row>
    <row r="54" spans="1:17" ht="15">
      <c r="A54" s="84" t="s">
        <v>106</v>
      </c>
      <c r="B54" s="135">
        <f>Assumptions!E30</f>
        <v>0.85</v>
      </c>
      <c r="C54" s="81"/>
      <c r="D54" s="136">
        <f>Assumptions!E30</f>
        <v>0.85</v>
      </c>
      <c r="E54" s="136">
        <f>Assumptions!F30</f>
        <v>0.85</v>
      </c>
      <c r="F54" s="136">
        <f>Assumptions!G30</f>
        <v>0.85</v>
      </c>
      <c r="G54" s="136">
        <f>Assumptions!H30</f>
        <v>0.85</v>
      </c>
      <c r="H54" s="136">
        <f>Assumptions!I30</f>
        <v>0.85</v>
      </c>
      <c r="I54" s="83"/>
      <c r="J54" s="10"/>
      <c r="K54" s="10"/>
      <c r="L54" s="10"/>
      <c r="M54" s="10"/>
      <c r="N54" s="10"/>
      <c r="O54" s="10"/>
      <c r="P54" s="10"/>
      <c r="Q54" s="10"/>
    </row>
    <row r="55" spans="1:17" ht="15">
      <c r="A55" s="84" t="s">
        <v>107</v>
      </c>
      <c r="B55" s="137">
        <f>ROUND((B53*B54),0)</f>
        <v>0</v>
      </c>
      <c r="C55" s="81"/>
      <c r="D55" s="138">
        <f>ROUND((D53*D54),0)</f>
        <v>208</v>
      </c>
      <c r="E55" s="138">
        <f t="shared" ref="E55:H55" si="9">ROUND((E53*E54),0)</f>
        <v>421</v>
      </c>
      <c r="F55" s="138">
        <f t="shared" si="9"/>
        <v>591</v>
      </c>
      <c r="G55" s="138">
        <f t="shared" si="9"/>
        <v>680</v>
      </c>
      <c r="H55" s="138">
        <f t="shared" si="9"/>
        <v>680</v>
      </c>
      <c r="I55" s="83"/>
      <c r="J55" s="10"/>
      <c r="K55" s="10"/>
      <c r="L55" s="10"/>
      <c r="M55" s="10"/>
      <c r="N55" s="10"/>
      <c r="O55" s="10"/>
      <c r="P55" s="10"/>
      <c r="Q55" s="10"/>
    </row>
    <row r="56" spans="1:17" ht="15">
      <c r="A56" s="84" t="s">
        <v>108</v>
      </c>
      <c r="B56" s="85">
        <f>B53-B55</f>
        <v>0</v>
      </c>
      <c r="C56" s="81"/>
      <c r="D56" s="86">
        <f>D53-D55</f>
        <v>37</v>
      </c>
      <c r="E56" s="86">
        <f t="shared" ref="E56:H56" si="10">E53-E55</f>
        <v>74</v>
      </c>
      <c r="F56" s="86">
        <f t="shared" si="10"/>
        <v>104</v>
      </c>
      <c r="G56" s="86">
        <f t="shared" si="10"/>
        <v>120</v>
      </c>
      <c r="H56" s="86">
        <f t="shared" si="10"/>
        <v>120</v>
      </c>
      <c r="I56" s="83"/>
      <c r="J56" s="10"/>
      <c r="K56" s="10"/>
      <c r="L56" s="10"/>
      <c r="M56" s="10"/>
      <c r="N56" s="10"/>
      <c r="O56" s="10"/>
      <c r="P56" s="10"/>
      <c r="Q56" s="10"/>
    </row>
    <row r="57" spans="1:17" ht="15">
      <c r="A57" s="84" t="s">
        <v>109</v>
      </c>
      <c r="B57" s="85">
        <f>ROUND((334*B55),0)</f>
        <v>0</v>
      </c>
      <c r="C57" s="81"/>
      <c r="D57" s="86">
        <f>ROUND((334*D55),0)</f>
        <v>69472</v>
      </c>
      <c r="E57" s="86">
        <f t="shared" ref="E57:H57" si="11">ROUND((334*E55),0)</f>
        <v>140614</v>
      </c>
      <c r="F57" s="86">
        <f t="shared" si="11"/>
        <v>197394</v>
      </c>
      <c r="G57" s="86">
        <f t="shared" si="11"/>
        <v>227120</v>
      </c>
      <c r="H57" s="86">
        <f t="shared" si="11"/>
        <v>227120</v>
      </c>
      <c r="I57" s="83"/>
      <c r="J57" s="10"/>
      <c r="K57" s="10"/>
      <c r="L57" s="10"/>
      <c r="M57" s="10"/>
      <c r="N57" s="10"/>
      <c r="O57" s="10"/>
      <c r="P57" s="10"/>
      <c r="Q57" s="10"/>
    </row>
    <row r="58" spans="1:17" ht="15">
      <c r="A58" s="84" t="s">
        <v>110</v>
      </c>
      <c r="B58" s="85">
        <f>ROUND((223*B56),0)</f>
        <v>0</v>
      </c>
      <c r="C58" s="81"/>
      <c r="D58" s="86">
        <f>ROUND((223*D56),0)</f>
        <v>8251</v>
      </c>
      <c r="E58" s="86">
        <f t="shared" ref="E58:H58" si="12">ROUND((223*E56),0)</f>
        <v>16502</v>
      </c>
      <c r="F58" s="86">
        <f t="shared" si="12"/>
        <v>23192</v>
      </c>
      <c r="G58" s="86">
        <f t="shared" si="12"/>
        <v>26760</v>
      </c>
      <c r="H58" s="86">
        <f t="shared" si="12"/>
        <v>26760</v>
      </c>
      <c r="I58" s="83"/>
      <c r="J58" s="10"/>
      <c r="K58" s="10"/>
      <c r="L58" s="10"/>
      <c r="M58" s="10"/>
      <c r="N58" s="10"/>
      <c r="O58" s="10"/>
      <c r="P58" s="10"/>
      <c r="Q58" s="10"/>
    </row>
    <row r="59" spans="1:17" ht="15">
      <c r="A59" s="139" t="s">
        <v>111</v>
      </c>
      <c r="B59" s="85">
        <f>Assumptions!E21</f>
        <v>21.6</v>
      </c>
      <c r="C59" s="81"/>
      <c r="D59" s="86">
        <f>Assumptions!E21</f>
        <v>21.6</v>
      </c>
      <c r="E59" s="86">
        <f>Assumptions!F21</f>
        <v>43.2</v>
      </c>
      <c r="F59" s="86">
        <f>Assumptions!G21</f>
        <v>64.8</v>
      </c>
      <c r="G59" s="86">
        <f>Assumptions!H21</f>
        <v>86.4</v>
      </c>
      <c r="H59" s="86">
        <f>Assumptions!I21</f>
        <v>86.4</v>
      </c>
      <c r="I59" s="83"/>
      <c r="J59" s="10"/>
      <c r="K59" s="10"/>
      <c r="L59" s="10"/>
      <c r="M59" s="10"/>
      <c r="N59" s="10"/>
      <c r="O59" s="10"/>
      <c r="P59" s="10"/>
      <c r="Q59" s="10"/>
    </row>
    <row r="60" spans="1:17" ht="15">
      <c r="A60" s="84"/>
      <c r="B60" s="99">
        <f>ROUND(B59,0)</f>
        <v>22</v>
      </c>
      <c r="C60" s="81"/>
      <c r="D60" s="81">
        <f>ROUND(D59,0)</f>
        <v>22</v>
      </c>
      <c r="E60" s="81">
        <f t="shared" ref="E60:H60" si="13">ROUND(E59,0)</f>
        <v>43</v>
      </c>
      <c r="F60" s="81">
        <f t="shared" si="13"/>
        <v>65</v>
      </c>
      <c r="G60" s="81">
        <f t="shared" si="13"/>
        <v>86</v>
      </c>
      <c r="H60" s="81">
        <f t="shared" si="13"/>
        <v>86</v>
      </c>
      <c r="I60" s="83"/>
      <c r="J60" s="10"/>
      <c r="K60" s="10"/>
      <c r="L60" s="10"/>
      <c r="M60" s="10"/>
      <c r="N60" s="10"/>
      <c r="O60" s="10"/>
      <c r="P60" s="10"/>
      <c r="Q60" s="10"/>
    </row>
    <row r="61" spans="1:17" ht="15">
      <c r="A61" s="84"/>
      <c r="B61" s="140">
        <f>B60/VLOOKUP(Assumptions!$C$3,$A$78:$B$82,2,FALSE)</f>
        <v>0.95652173913043481</v>
      </c>
      <c r="C61" s="81"/>
      <c r="D61" s="141">
        <f>D60/VLOOKUP(Assumptions!$C$3,$A$78:$B$82,2,FALSE)</f>
        <v>0.95652173913043481</v>
      </c>
      <c r="E61" s="141">
        <f>E60/VLOOKUP(Assumptions!$C$3,$A$78:$B$82,2,FALSE)</f>
        <v>1.8695652173913044</v>
      </c>
      <c r="F61" s="141">
        <f>F60/VLOOKUP(Assumptions!$C$3,$A$78:$B$82,2,FALSE)</f>
        <v>2.8260869565217392</v>
      </c>
      <c r="G61" s="141">
        <f>G60/VLOOKUP(Assumptions!$C$3,$A$78:$B$82,2,FALSE)</f>
        <v>3.7391304347826089</v>
      </c>
      <c r="H61" s="141">
        <f>H60/VLOOKUP(Assumptions!$C$3,$A$78:$B$82,2,FALSE)</f>
        <v>3.7391304347826089</v>
      </c>
      <c r="I61" s="83"/>
      <c r="J61" s="10"/>
      <c r="K61" s="10"/>
      <c r="L61" s="10"/>
      <c r="M61" s="10"/>
      <c r="N61" s="10"/>
      <c r="O61" s="10"/>
      <c r="P61" s="10"/>
      <c r="Q61" s="10"/>
    </row>
    <row r="62" spans="1:17" ht="15">
      <c r="A62" s="84"/>
      <c r="B62" s="99">
        <f>TRUNC(B61)</f>
        <v>0</v>
      </c>
      <c r="C62" s="81"/>
      <c r="D62" s="81">
        <f>TRUNC(D61)</f>
        <v>0</v>
      </c>
      <c r="E62" s="81">
        <f t="shared" ref="E62:H62" si="14">TRUNC(E61)</f>
        <v>1</v>
      </c>
      <c r="F62" s="81">
        <f t="shared" si="14"/>
        <v>2</v>
      </c>
      <c r="G62" s="81">
        <f t="shared" si="14"/>
        <v>3</v>
      </c>
      <c r="H62" s="81">
        <f t="shared" si="14"/>
        <v>3</v>
      </c>
      <c r="I62" s="83"/>
      <c r="J62" s="10"/>
      <c r="K62" s="10"/>
      <c r="L62" s="10"/>
      <c r="M62" s="10"/>
      <c r="N62" s="10"/>
      <c r="O62" s="10"/>
      <c r="P62" s="10"/>
      <c r="Q62" s="10"/>
    </row>
    <row r="63" spans="1:17" ht="15">
      <c r="A63" s="84"/>
      <c r="B63" s="140">
        <f>B61-B62</f>
        <v>0.95652173913043481</v>
      </c>
      <c r="C63" s="81"/>
      <c r="D63" s="141">
        <f>D61-D62</f>
        <v>0.95652173913043481</v>
      </c>
      <c r="E63" s="141">
        <f t="shared" ref="E63:H63" si="15">E61-E62</f>
        <v>0.86956521739130443</v>
      </c>
      <c r="F63" s="141">
        <f t="shared" si="15"/>
        <v>0.82608695652173925</v>
      </c>
      <c r="G63" s="141">
        <f t="shared" si="15"/>
        <v>0.73913043478260887</v>
      </c>
      <c r="H63" s="141">
        <f t="shared" si="15"/>
        <v>0.73913043478260887</v>
      </c>
      <c r="I63" s="83"/>
      <c r="J63" s="10"/>
      <c r="K63" s="10"/>
      <c r="L63" s="10"/>
      <c r="M63" s="10"/>
      <c r="N63" s="10"/>
      <c r="O63" s="10"/>
      <c r="P63" s="10"/>
      <c r="Q63" s="10"/>
    </row>
    <row r="64" spans="1:17" ht="15">
      <c r="A64" s="84"/>
      <c r="B64" s="142">
        <f>IF(B63&lt;0.25,0,IF(B63&lt;0.66,0.5,IF(B63&gt;=0.66,1)))</f>
        <v>1</v>
      </c>
      <c r="C64" s="81"/>
      <c r="D64" s="143">
        <f>IF(D63&lt;0.25,0,IF(D63&lt;0.66,0.5,IF(D63&gt;=0.66,1)))</f>
        <v>1</v>
      </c>
      <c r="E64" s="143">
        <f t="shared" ref="E64:H64" si="16">IF(E63&lt;0.25,0,IF(E63&lt;0.66,0.5,IF(E63&gt;=0.66,1)))</f>
        <v>1</v>
      </c>
      <c r="F64" s="143">
        <f t="shared" si="16"/>
        <v>1</v>
      </c>
      <c r="G64" s="143">
        <f t="shared" si="16"/>
        <v>1</v>
      </c>
      <c r="H64" s="143">
        <f t="shared" si="16"/>
        <v>1</v>
      </c>
      <c r="I64" s="83"/>
      <c r="J64" s="10"/>
      <c r="K64" s="10"/>
      <c r="L64" s="10"/>
      <c r="M64" s="10"/>
      <c r="N64" s="10"/>
      <c r="O64" s="10"/>
      <c r="P64" s="10"/>
      <c r="Q64" s="10"/>
    </row>
    <row r="65" spans="1:17" ht="15">
      <c r="A65" s="84" t="s">
        <v>112</v>
      </c>
      <c r="B65" s="144">
        <f>IF(B62+B64&lt;1,1,B62+B64)</f>
        <v>1</v>
      </c>
      <c r="C65" s="81"/>
      <c r="D65" s="145">
        <f>IF(D62+D64&lt;1,1,D62+D64)</f>
        <v>1</v>
      </c>
      <c r="E65" s="145">
        <f t="shared" ref="E65:H65" si="17">IF(E62+E64&lt;1,1,E62+E64)</f>
        <v>2</v>
      </c>
      <c r="F65" s="145">
        <f t="shared" si="17"/>
        <v>3</v>
      </c>
      <c r="G65" s="145">
        <f t="shared" si="17"/>
        <v>4</v>
      </c>
      <c r="H65" s="145">
        <f t="shared" si="17"/>
        <v>4</v>
      </c>
      <c r="I65" s="83"/>
      <c r="J65" s="10"/>
      <c r="K65" s="10"/>
      <c r="L65" s="10"/>
      <c r="M65" s="10"/>
      <c r="N65" s="10"/>
      <c r="O65" s="10"/>
      <c r="P65" s="10"/>
      <c r="Q65" s="10"/>
    </row>
    <row r="66" spans="1:17" ht="15">
      <c r="A66" s="84" t="s">
        <v>113</v>
      </c>
      <c r="B66" s="85">
        <f>SUM(B57:B58)</f>
        <v>0</v>
      </c>
      <c r="C66" s="81"/>
      <c r="D66" s="86">
        <f>SUM(D57:D58)</f>
        <v>77723</v>
      </c>
      <c r="E66" s="86">
        <f t="shared" ref="E66:H66" si="18">SUM(E57:E58)</f>
        <v>157116</v>
      </c>
      <c r="F66" s="86">
        <f t="shared" si="18"/>
        <v>220586</v>
      </c>
      <c r="G66" s="86">
        <f t="shared" si="18"/>
        <v>253880</v>
      </c>
      <c r="H66" s="86">
        <f t="shared" si="18"/>
        <v>253880</v>
      </c>
      <c r="I66" s="83"/>
      <c r="J66" s="10"/>
      <c r="K66" s="10"/>
      <c r="L66" s="10"/>
      <c r="M66" s="10"/>
      <c r="N66" s="10"/>
      <c r="O66" s="10"/>
      <c r="P66" s="10"/>
      <c r="Q66" s="10"/>
    </row>
    <row r="67" spans="1:17" ht="15">
      <c r="A67" s="146" t="s">
        <v>114</v>
      </c>
      <c r="B67" s="85">
        <f>ROUND(B65*B1,0)</f>
        <v>65944</v>
      </c>
      <c r="C67" s="81"/>
      <c r="D67" s="86">
        <f t="shared" ref="D67:H67" si="19">ROUND(D65*D1,0)</f>
        <v>65944</v>
      </c>
      <c r="E67" s="86">
        <f t="shared" si="19"/>
        <v>133207</v>
      </c>
      <c r="F67" s="86">
        <f t="shared" si="19"/>
        <v>201808</v>
      </c>
      <c r="G67" s="86">
        <f t="shared" si="19"/>
        <v>271769</v>
      </c>
      <c r="H67" s="86">
        <f t="shared" si="19"/>
        <v>274486</v>
      </c>
      <c r="I67" s="83"/>
      <c r="J67" s="10"/>
      <c r="K67" s="10"/>
      <c r="L67" s="10"/>
      <c r="M67" s="10"/>
      <c r="N67" s="10"/>
      <c r="O67" s="10"/>
      <c r="P67" s="10"/>
      <c r="Q67" s="10"/>
    </row>
    <row r="68" spans="1:17" ht="30">
      <c r="A68" s="147" t="s">
        <v>115</v>
      </c>
      <c r="B68" s="85">
        <f>IF(B66-B67&lt;0,B66-B67,0)</f>
        <v>-65944</v>
      </c>
      <c r="C68" s="81"/>
      <c r="D68" s="86">
        <f>IF(D66-D67&lt;0,D66-D67,0)</f>
        <v>0</v>
      </c>
      <c r="E68" s="86">
        <f t="shared" ref="E68:H68" si="20">IF(E66-E67&lt;0,E66-E67,0)</f>
        <v>0</v>
      </c>
      <c r="F68" s="86">
        <f t="shared" si="20"/>
        <v>0</v>
      </c>
      <c r="G68" s="86">
        <f t="shared" si="20"/>
        <v>-17889</v>
      </c>
      <c r="H68" s="86">
        <f t="shared" si="20"/>
        <v>-20606</v>
      </c>
      <c r="I68" s="83"/>
      <c r="J68" s="10"/>
      <c r="K68" s="10"/>
      <c r="L68" s="10"/>
      <c r="M68" s="10"/>
      <c r="N68" s="10"/>
      <c r="O68" s="10"/>
      <c r="P68" s="10"/>
      <c r="Q68" s="10"/>
    </row>
    <row r="69" spans="1:17" ht="15">
      <c r="A69" s="119" t="s">
        <v>116</v>
      </c>
      <c r="B69" s="85">
        <f>IF(B66-B67&gt;0,B66-B67,0)</f>
        <v>0</v>
      </c>
      <c r="C69" s="81"/>
      <c r="D69" s="86">
        <f>IF(D66-D67&gt;0,D66-D67,0)</f>
        <v>11779</v>
      </c>
      <c r="E69" s="86">
        <f t="shared" ref="E69:H69" si="21">IF(E66-E67&gt;0,E66-E67,0)</f>
        <v>23909</v>
      </c>
      <c r="F69" s="86">
        <f t="shared" si="21"/>
        <v>18778</v>
      </c>
      <c r="G69" s="86">
        <f t="shared" si="21"/>
        <v>0</v>
      </c>
      <c r="H69" s="86">
        <f t="shared" si="21"/>
        <v>0</v>
      </c>
      <c r="I69" s="83"/>
      <c r="J69" s="10"/>
      <c r="K69" s="10"/>
      <c r="L69" s="10"/>
      <c r="M69" s="10"/>
      <c r="N69" s="10"/>
      <c r="O69" s="10"/>
      <c r="P69" s="10"/>
      <c r="Q69" s="10"/>
    </row>
    <row r="70" spans="1:17" ht="15">
      <c r="A70" s="119" t="s">
        <v>117</v>
      </c>
      <c r="B70" s="85">
        <f>-B68</f>
        <v>65944</v>
      </c>
      <c r="C70" s="81"/>
      <c r="D70" s="86">
        <f>-D68</f>
        <v>0</v>
      </c>
      <c r="E70" s="86">
        <f t="shared" ref="E70:H70" si="22">-E68</f>
        <v>0</v>
      </c>
      <c r="F70" s="86">
        <f t="shared" si="22"/>
        <v>0</v>
      </c>
      <c r="G70" s="86">
        <f t="shared" si="22"/>
        <v>17889</v>
      </c>
      <c r="H70" s="86">
        <f t="shared" si="22"/>
        <v>20606</v>
      </c>
      <c r="I70" s="83"/>
      <c r="J70" s="10"/>
      <c r="K70" s="10"/>
      <c r="L70" s="10"/>
      <c r="M70" s="10"/>
      <c r="N70" s="10"/>
      <c r="O70" s="10"/>
      <c r="P70" s="10"/>
      <c r="Q70" s="10"/>
    </row>
    <row r="71" spans="1:17" ht="15">
      <c r="A71" s="119" t="s">
        <v>101</v>
      </c>
      <c r="B71" s="85">
        <f>B67</f>
        <v>65944</v>
      </c>
      <c r="C71" s="81"/>
      <c r="D71" s="86">
        <f>D67</f>
        <v>65944</v>
      </c>
      <c r="E71" s="86">
        <f t="shared" ref="E71:H71" si="23">E67</f>
        <v>133207</v>
      </c>
      <c r="F71" s="86">
        <f t="shared" si="23"/>
        <v>201808</v>
      </c>
      <c r="G71" s="86">
        <f t="shared" si="23"/>
        <v>271769</v>
      </c>
      <c r="H71" s="86">
        <f t="shared" si="23"/>
        <v>274486</v>
      </c>
      <c r="I71" s="83"/>
      <c r="J71" s="10"/>
      <c r="K71" s="10"/>
      <c r="L71" s="10"/>
      <c r="M71" s="10"/>
      <c r="N71" s="10"/>
      <c r="O71" s="10"/>
      <c r="P71" s="10"/>
      <c r="Q71" s="10"/>
    </row>
    <row r="72" spans="1:17" ht="15">
      <c r="A72" s="148" t="s">
        <v>102</v>
      </c>
      <c r="B72" s="149">
        <f>B69</f>
        <v>0</v>
      </c>
      <c r="C72" s="81"/>
      <c r="D72" s="150">
        <f>D69</f>
        <v>11779</v>
      </c>
      <c r="E72" s="150">
        <f t="shared" ref="E72:H72" si="24">E69</f>
        <v>23909</v>
      </c>
      <c r="F72" s="150">
        <f t="shared" si="24"/>
        <v>18778</v>
      </c>
      <c r="G72" s="150">
        <f t="shared" si="24"/>
        <v>0</v>
      </c>
      <c r="H72" s="150">
        <f t="shared" si="24"/>
        <v>0</v>
      </c>
      <c r="I72" s="83"/>
      <c r="J72" s="10"/>
      <c r="K72" s="10"/>
      <c r="L72" s="10"/>
      <c r="M72" s="10"/>
      <c r="N72" s="10"/>
      <c r="O72" s="10"/>
      <c r="P72" s="10"/>
      <c r="Q72" s="10"/>
    </row>
    <row r="73" spans="1:17" ht="15">
      <c r="A73" s="151" t="s">
        <v>103</v>
      </c>
      <c r="B73" s="152">
        <f>B72</f>
        <v>0</v>
      </c>
      <c r="C73" s="81"/>
      <c r="D73" s="153">
        <f>D72</f>
        <v>11779</v>
      </c>
      <c r="E73" s="153">
        <f t="shared" ref="E73:H73" si="25">E72</f>
        <v>23909</v>
      </c>
      <c r="F73" s="153">
        <f t="shared" si="25"/>
        <v>18778</v>
      </c>
      <c r="G73" s="153">
        <f t="shared" si="25"/>
        <v>0</v>
      </c>
      <c r="H73" s="153">
        <f t="shared" si="25"/>
        <v>0</v>
      </c>
      <c r="I73" s="83"/>
      <c r="J73" s="10"/>
      <c r="K73" s="10"/>
      <c r="L73" s="10"/>
      <c r="M73" s="10"/>
      <c r="N73" s="10"/>
      <c r="O73" s="10"/>
      <c r="P73" s="10"/>
      <c r="Q73" s="10"/>
    </row>
    <row r="74" spans="1:17" ht="15">
      <c r="A74" s="154" t="s">
        <v>118</v>
      </c>
      <c r="B74" s="155">
        <f>B71+B73</f>
        <v>65944</v>
      </c>
      <c r="C74" s="156"/>
      <c r="D74" s="157">
        <f t="shared" ref="D74:H74" si="26">D71+D73</f>
        <v>77723</v>
      </c>
      <c r="E74" s="158">
        <f t="shared" si="26"/>
        <v>157116</v>
      </c>
      <c r="F74" s="158">
        <f t="shared" si="26"/>
        <v>220586</v>
      </c>
      <c r="G74" s="158">
        <f t="shared" si="26"/>
        <v>271769</v>
      </c>
      <c r="H74" s="158">
        <f t="shared" si="26"/>
        <v>274486</v>
      </c>
      <c r="I74" s="83"/>
      <c r="J74" s="10"/>
      <c r="K74" s="10"/>
      <c r="L74" s="10"/>
      <c r="M74" s="10"/>
      <c r="N74" s="10"/>
      <c r="O74" s="10"/>
      <c r="P74" s="10"/>
      <c r="Q74" s="10"/>
    </row>
    <row r="75" spans="1:17" ht="14.25">
      <c r="A75" s="108"/>
      <c r="B75" s="159"/>
      <c r="C75" s="94"/>
      <c r="D75" s="92"/>
      <c r="E75" s="91"/>
      <c r="F75" s="92"/>
      <c r="G75" s="92"/>
      <c r="H75" s="91"/>
      <c r="I75" s="76"/>
      <c r="J75" s="10"/>
      <c r="K75" s="10"/>
      <c r="L75" s="10"/>
      <c r="M75" s="10"/>
      <c r="N75" s="10"/>
      <c r="O75" s="10"/>
      <c r="P75" s="10"/>
      <c r="Q75" s="10"/>
    </row>
    <row r="76" spans="1:17" ht="14.25">
      <c r="A76" s="83"/>
      <c r="B76" s="99"/>
      <c r="C76" s="28"/>
      <c r="D76" s="10"/>
      <c r="E76" s="76"/>
      <c r="F76" s="10"/>
      <c r="G76" s="10"/>
      <c r="H76" s="76"/>
      <c r="I76" s="76"/>
      <c r="J76" s="10"/>
      <c r="K76" s="10"/>
      <c r="L76" s="10"/>
      <c r="M76" s="10"/>
      <c r="N76" s="10"/>
      <c r="O76" s="10"/>
      <c r="P76" s="10"/>
      <c r="Q76" s="10"/>
    </row>
    <row r="77" spans="1:17" ht="14.25">
      <c r="A77" s="83" t="s">
        <v>119</v>
      </c>
      <c r="B77" s="99"/>
      <c r="C77" s="28"/>
      <c r="D77" s="10"/>
      <c r="E77" s="76"/>
      <c r="F77" s="10"/>
      <c r="G77" s="10"/>
      <c r="H77" s="76"/>
      <c r="I77" s="76"/>
      <c r="J77" s="10"/>
      <c r="K77" s="10"/>
      <c r="L77" s="10"/>
      <c r="M77" s="10"/>
      <c r="N77" s="10"/>
      <c r="O77" s="10"/>
      <c r="P77" s="10"/>
      <c r="Q77" s="10"/>
    </row>
    <row r="78" spans="1:17" ht="14.25">
      <c r="A78" s="83" t="s">
        <v>49</v>
      </c>
      <c r="B78" s="160">
        <v>19</v>
      </c>
      <c r="C78" s="28"/>
      <c r="D78" s="10"/>
      <c r="E78" s="76"/>
      <c r="F78" s="10"/>
      <c r="G78" s="10"/>
      <c r="H78" s="76"/>
      <c r="I78" s="76"/>
      <c r="J78" s="10"/>
      <c r="K78" s="10"/>
      <c r="L78" s="10"/>
      <c r="M78" s="10"/>
      <c r="N78" s="10"/>
      <c r="O78" s="10"/>
      <c r="P78" s="10"/>
      <c r="Q78" s="10"/>
    </row>
    <row r="79" spans="1:17" ht="14.25">
      <c r="A79" s="83" t="s">
        <v>54</v>
      </c>
      <c r="B79" s="160">
        <v>19</v>
      </c>
      <c r="C79" s="28"/>
      <c r="D79" s="10"/>
      <c r="E79" s="76"/>
      <c r="F79" s="10"/>
      <c r="G79" s="10"/>
      <c r="H79" s="76"/>
      <c r="I79" s="76"/>
      <c r="J79" s="10"/>
      <c r="K79" s="10"/>
      <c r="L79" s="10"/>
      <c r="M79" s="10"/>
      <c r="N79" s="10"/>
      <c r="O79" s="10"/>
      <c r="P79" s="10"/>
      <c r="Q79" s="10"/>
    </row>
    <row r="80" spans="1:17" ht="14.25">
      <c r="A80" s="83" t="s">
        <v>57</v>
      </c>
      <c r="B80" s="160">
        <v>21</v>
      </c>
      <c r="C80" s="28"/>
      <c r="D80" s="10"/>
      <c r="E80" s="76"/>
      <c r="F80" s="10"/>
      <c r="G80" s="10"/>
      <c r="H80" s="76"/>
      <c r="I80" s="76"/>
      <c r="J80" s="10"/>
      <c r="K80" s="10"/>
      <c r="L80" s="10"/>
      <c r="M80" s="10"/>
      <c r="N80" s="10"/>
      <c r="O80" s="10"/>
      <c r="P80" s="10"/>
      <c r="Q80" s="10"/>
    </row>
    <row r="81" spans="1:17" ht="14.25">
      <c r="A81" s="83" t="s">
        <v>10</v>
      </c>
      <c r="B81" s="160">
        <v>23</v>
      </c>
      <c r="C81" s="28"/>
      <c r="D81" s="10"/>
      <c r="E81" s="76"/>
      <c r="F81" s="10"/>
      <c r="G81" s="10"/>
      <c r="H81" s="76"/>
      <c r="I81" s="76"/>
      <c r="J81" s="10"/>
      <c r="K81" s="10"/>
      <c r="L81" s="10"/>
      <c r="M81" s="10"/>
      <c r="N81" s="10"/>
      <c r="O81" s="10"/>
      <c r="P81" s="10"/>
      <c r="Q81" s="10"/>
    </row>
    <row r="82" spans="1:17" ht="14.25">
      <c r="A82" s="93" t="s">
        <v>65</v>
      </c>
      <c r="B82" s="161">
        <v>23</v>
      </c>
      <c r="C82" s="28"/>
      <c r="D82" s="10"/>
      <c r="E82" s="76"/>
      <c r="F82" s="10"/>
      <c r="G82" s="10"/>
      <c r="H82" s="76"/>
      <c r="I82" s="76"/>
      <c r="J82" s="10"/>
      <c r="K82" s="10"/>
      <c r="L82" s="10"/>
      <c r="M82" s="10"/>
      <c r="N82" s="10"/>
      <c r="O82" s="10"/>
      <c r="P82" s="10"/>
      <c r="Q82" s="10"/>
    </row>
    <row r="83" spans="1:17" ht="14.25">
      <c r="A83" s="91"/>
      <c r="B83" s="92"/>
      <c r="C83" s="10"/>
      <c r="D83" s="10"/>
      <c r="E83" s="76"/>
      <c r="F83" s="10"/>
      <c r="G83" s="10"/>
      <c r="H83" s="76"/>
      <c r="I83" s="76"/>
      <c r="J83" s="10"/>
      <c r="K83" s="10"/>
      <c r="L83" s="10"/>
      <c r="M83" s="10"/>
      <c r="N83" s="10"/>
      <c r="O83" s="10"/>
      <c r="P83" s="10"/>
      <c r="Q83" s="10"/>
    </row>
    <row r="84" spans="1:17" ht="14.25">
      <c r="A84" s="78"/>
      <c r="B84" s="77"/>
      <c r="C84" s="77"/>
      <c r="D84" s="77"/>
      <c r="E84" s="78"/>
      <c r="F84" s="77"/>
      <c r="G84" s="77"/>
      <c r="H84" s="78"/>
      <c r="I84" s="76"/>
      <c r="J84" s="10"/>
      <c r="K84" s="10"/>
      <c r="L84" s="10"/>
      <c r="M84" s="10"/>
      <c r="N84" s="10"/>
      <c r="O84" s="10"/>
      <c r="P84" s="10"/>
      <c r="Q84" s="10"/>
    </row>
    <row r="85" spans="1:17" ht="14.25">
      <c r="A85" s="630" t="s">
        <v>120</v>
      </c>
      <c r="B85" s="631"/>
      <c r="C85" s="632"/>
      <c r="D85" s="97" t="s">
        <v>78</v>
      </c>
      <c r="E85" s="97" t="s">
        <v>79</v>
      </c>
      <c r="F85" s="97" t="s">
        <v>80</v>
      </c>
      <c r="G85" s="97" t="s">
        <v>81</v>
      </c>
      <c r="H85" s="97" t="s">
        <v>82</v>
      </c>
      <c r="I85" s="83"/>
      <c r="J85" s="10"/>
      <c r="K85" s="10"/>
      <c r="L85" s="10"/>
      <c r="M85" s="10"/>
      <c r="N85" s="10"/>
      <c r="O85" s="10"/>
      <c r="P85" s="10"/>
      <c r="Q85" s="10"/>
    </row>
    <row r="86" spans="1:17" ht="14.25">
      <c r="A86" s="108"/>
      <c r="B86" s="109"/>
      <c r="C86" s="111"/>
      <c r="D86" s="82">
        <f>ROUND(B86*(1+Assumptions!E57),0)</f>
        <v>0</v>
      </c>
      <c r="E86" s="82">
        <f>ROUND(C86*(1+Assumptions!F57),0)</f>
        <v>0</v>
      </c>
      <c r="F86" s="82">
        <f>ROUND(D86*(1+Assumptions!G57),0)</f>
        <v>0</v>
      </c>
      <c r="G86" s="82">
        <f>ROUND(E86*(1+Assumptions!H57),0)</f>
        <v>0</v>
      </c>
      <c r="H86" s="82">
        <f>ROUND(F86*(1+Assumptions!I57),0)</f>
        <v>0</v>
      </c>
      <c r="I86" s="83"/>
      <c r="J86" s="10"/>
      <c r="K86" s="10"/>
      <c r="L86" s="10"/>
      <c r="M86" s="10"/>
      <c r="N86" s="10"/>
      <c r="O86" s="10"/>
      <c r="P86" s="10"/>
      <c r="Q86" s="10"/>
    </row>
    <row r="87" spans="1:17" ht="15">
      <c r="A87" s="84" t="s">
        <v>121</v>
      </c>
      <c r="B87" s="115">
        <f>SUM(Assumptions!D16:D18)</f>
        <v>0</v>
      </c>
      <c r="C87" s="113"/>
      <c r="D87" s="117">
        <f>SUM(Assumptions!E16:E18)</f>
        <v>245</v>
      </c>
      <c r="E87" s="117">
        <f>SUM(Assumptions!F16:F18)</f>
        <v>495</v>
      </c>
      <c r="F87" s="117">
        <f>SUM(Assumptions!G16:G18)</f>
        <v>695</v>
      </c>
      <c r="G87" s="117">
        <f>SUM(Assumptions!H16:H18)</f>
        <v>800</v>
      </c>
      <c r="H87" s="117">
        <f>SUM(Assumptions!I16:I18)</f>
        <v>800</v>
      </c>
      <c r="I87" s="83"/>
      <c r="J87" s="10"/>
      <c r="K87" s="10"/>
      <c r="L87" s="10"/>
      <c r="M87" s="10"/>
      <c r="N87" s="10"/>
      <c r="O87" s="10"/>
      <c r="P87" s="10"/>
      <c r="Q87" s="10"/>
    </row>
    <row r="88" spans="1:17" ht="15">
      <c r="A88" s="84" t="s">
        <v>122</v>
      </c>
      <c r="B88" s="162">
        <f>Assumptions!E29</f>
        <v>0.85</v>
      </c>
      <c r="C88" s="113"/>
      <c r="D88" s="163">
        <f>Assumptions!E29</f>
        <v>0.85</v>
      </c>
      <c r="E88" s="163">
        <f>Assumptions!F29</f>
        <v>0.85</v>
      </c>
      <c r="F88" s="163">
        <f>Assumptions!G29</f>
        <v>0.85</v>
      </c>
      <c r="G88" s="163">
        <f>Assumptions!H29</f>
        <v>0.85</v>
      </c>
      <c r="H88" s="163">
        <f>Assumptions!I29</f>
        <v>0.85</v>
      </c>
      <c r="I88" s="83"/>
      <c r="J88" s="10"/>
      <c r="K88" s="10"/>
      <c r="L88" s="10"/>
      <c r="M88" s="10"/>
      <c r="N88" s="10"/>
      <c r="O88" s="10"/>
      <c r="P88" s="10"/>
      <c r="Q88" s="10"/>
    </row>
    <row r="89" spans="1:17" ht="15">
      <c r="A89" s="84" t="s">
        <v>123</v>
      </c>
      <c r="B89" s="164">
        <f>ROUND((B87*B88),0)</f>
        <v>0</v>
      </c>
      <c r="C89" s="113"/>
      <c r="D89" s="165">
        <f>ROUND((D87*D88),0)</f>
        <v>208</v>
      </c>
      <c r="E89" s="165">
        <f>ROUND((E87*E88),0)</f>
        <v>421</v>
      </c>
      <c r="F89" s="165">
        <f>ROUND((F87*F88),0)</f>
        <v>591</v>
      </c>
      <c r="G89" s="165">
        <f>ROUND((G87*G88),0)</f>
        <v>680</v>
      </c>
      <c r="H89" s="165">
        <f>ROUND((H87*H88),0)</f>
        <v>680</v>
      </c>
      <c r="I89" s="28"/>
      <c r="J89" s="10"/>
      <c r="K89" s="10"/>
      <c r="L89" s="10"/>
      <c r="M89" s="10"/>
      <c r="N89" s="10"/>
      <c r="O89" s="10"/>
      <c r="P89" s="10"/>
      <c r="Q89" s="10"/>
    </row>
    <row r="90" spans="1:17" ht="15">
      <c r="A90" s="84" t="s">
        <v>124</v>
      </c>
      <c r="B90" s="115">
        <f>B87-B89</f>
        <v>0</v>
      </c>
      <c r="C90" s="113"/>
      <c r="D90" s="117">
        <f>D87-D89</f>
        <v>37</v>
      </c>
      <c r="E90" s="117">
        <f>E87-E89</f>
        <v>74</v>
      </c>
      <c r="F90" s="117">
        <f>F87-F89</f>
        <v>104</v>
      </c>
      <c r="G90" s="117">
        <f>G87-G89</f>
        <v>120</v>
      </c>
      <c r="H90" s="117">
        <f>H87-H89</f>
        <v>120</v>
      </c>
      <c r="I90" s="28"/>
      <c r="J90" s="10"/>
      <c r="K90" s="10"/>
      <c r="L90" s="10"/>
      <c r="M90" s="10"/>
      <c r="N90" s="10"/>
      <c r="O90" s="10"/>
      <c r="P90" s="10"/>
      <c r="Q90" s="10"/>
    </row>
    <row r="91" spans="1:17" ht="15">
      <c r="A91" s="84" t="s">
        <v>125</v>
      </c>
      <c r="B91" s="115">
        <f>B89*(IF(OR(Assumptions!$C$3="ES",Assumptions!$C$3="K8"),140,73))</f>
        <v>0</v>
      </c>
      <c r="C91" s="113"/>
      <c r="D91" s="117">
        <f>D89*(IF(OR(Assumptions!$C$3="ES",Assumptions!$C$3="K8"),140,73))</f>
        <v>15184</v>
      </c>
      <c r="E91" s="117">
        <f>E89*(IF(OR(Assumptions!$C$3="ES",Assumptions!$C$3="K8"),140,73))</f>
        <v>30733</v>
      </c>
      <c r="F91" s="117">
        <f>F89*(IF(OR(Assumptions!$C$3="ES",Assumptions!$C$3="K8"),140,73))</f>
        <v>43143</v>
      </c>
      <c r="G91" s="117">
        <f>G89*(IF(OR(Assumptions!$C$3="ES",Assumptions!$C$3="K8"),140,73))</f>
        <v>49640</v>
      </c>
      <c r="H91" s="117">
        <f>H89*(IF(OR(Assumptions!$C$3="ES",Assumptions!$C$3="K8"),140,73))</f>
        <v>49640</v>
      </c>
      <c r="I91" s="28"/>
      <c r="J91" s="10"/>
      <c r="K91" s="10"/>
      <c r="L91" s="10"/>
      <c r="M91" s="10"/>
      <c r="N91" s="10"/>
      <c r="O91" s="10"/>
      <c r="P91" s="10"/>
      <c r="Q91" s="10"/>
    </row>
    <row r="92" spans="1:17" ht="14.25">
      <c r="A92" s="166"/>
      <c r="B92" s="115"/>
      <c r="C92" s="113"/>
      <c r="D92" s="117"/>
      <c r="E92" s="117"/>
      <c r="F92" s="117"/>
      <c r="G92" s="117"/>
      <c r="H92" s="117"/>
      <c r="I92" s="28"/>
      <c r="J92" s="10"/>
      <c r="K92" s="10"/>
      <c r="L92" s="10"/>
      <c r="M92" s="10"/>
      <c r="N92" s="10"/>
      <c r="O92" s="10"/>
      <c r="P92" s="10"/>
      <c r="Q92" s="10"/>
    </row>
    <row r="93" spans="1:17" ht="14.25">
      <c r="A93" s="166"/>
      <c r="B93" s="115"/>
      <c r="C93" s="113"/>
      <c r="D93" s="117"/>
      <c r="E93" s="117"/>
      <c r="F93" s="117"/>
      <c r="G93" s="117"/>
      <c r="H93" s="117"/>
      <c r="I93" s="28"/>
      <c r="J93" s="10"/>
      <c r="K93" s="10"/>
      <c r="L93" s="10"/>
      <c r="M93" s="10"/>
      <c r="N93" s="10"/>
      <c r="O93" s="10"/>
      <c r="P93" s="10"/>
      <c r="Q93" s="10"/>
    </row>
    <row r="94" spans="1:17" ht="14.25">
      <c r="A94" s="166" t="s">
        <v>126</v>
      </c>
      <c r="B94" s="115">
        <f>B89*(IF(OR(Assumptions!$C$3="ES",Assumptions!$C$3="K8"),128,230))</f>
        <v>0</v>
      </c>
      <c r="C94" s="113"/>
      <c r="D94" s="117">
        <f>D89*(IF(OR(Assumptions!$C$3="ES",Assumptions!$C$3="K8"),128,230))</f>
        <v>47840</v>
      </c>
      <c r="E94" s="117">
        <f>E89*(IF(OR(Assumptions!$C$3="ES",Assumptions!$C$3="K8"),128,230))</f>
        <v>96830</v>
      </c>
      <c r="F94" s="117">
        <f>F89*(IF(OR(Assumptions!$C$3="ES",Assumptions!$C$3="K8"),128,230))</f>
        <v>135930</v>
      </c>
      <c r="G94" s="117">
        <f>G89*(IF(OR(Assumptions!$C$3="ES",Assumptions!$C$3="K8"),128,230))</f>
        <v>156400</v>
      </c>
      <c r="H94" s="117">
        <f>H89*(IF(OR(Assumptions!$C$3="ES",Assumptions!$C$3="K8"),128,230))</f>
        <v>156400</v>
      </c>
      <c r="I94" s="28"/>
      <c r="J94" s="10"/>
      <c r="K94" s="10"/>
      <c r="L94" s="10"/>
      <c r="M94" s="10"/>
      <c r="N94" s="10"/>
      <c r="O94" s="10"/>
      <c r="P94" s="10"/>
      <c r="Q94" s="10"/>
    </row>
    <row r="95" spans="1:17" ht="15">
      <c r="A95" s="119" t="s">
        <v>101</v>
      </c>
      <c r="B95" s="115">
        <f>B91</f>
        <v>0</v>
      </c>
      <c r="C95" s="113"/>
      <c r="D95" s="117">
        <f>D91</f>
        <v>15184</v>
      </c>
      <c r="E95" s="117">
        <f>E91</f>
        <v>30733</v>
      </c>
      <c r="F95" s="117">
        <f>F91</f>
        <v>43143</v>
      </c>
      <c r="G95" s="117">
        <f>G91</f>
        <v>49640</v>
      </c>
      <c r="H95" s="117">
        <f>H91</f>
        <v>49640</v>
      </c>
      <c r="I95" s="28"/>
      <c r="J95" s="10"/>
      <c r="K95" s="10"/>
      <c r="L95" s="10"/>
      <c r="M95" s="10"/>
      <c r="N95" s="10"/>
      <c r="O95" s="10"/>
      <c r="P95" s="10"/>
      <c r="Q95" s="10"/>
    </row>
    <row r="96" spans="1:17" ht="15">
      <c r="A96" s="119" t="s">
        <v>102</v>
      </c>
      <c r="B96" s="115">
        <f>B94</f>
        <v>0</v>
      </c>
      <c r="C96" s="113"/>
      <c r="D96" s="117">
        <f>D94</f>
        <v>47840</v>
      </c>
      <c r="E96" s="117">
        <f>E94</f>
        <v>96830</v>
      </c>
      <c r="F96" s="117">
        <f>F94</f>
        <v>135930</v>
      </c>
      <c r="G96" s="117">
        <f>G94</f>
        <v>156400</v>
      </c>
      <c r="H96" s="117">
        <f>H94</f>
        <v>156400</v>
      </c>
      <c r="I96" s="28"/>
      <c r="J96" s="10"/>
      <c r="K96" s="10"/>
      <c r="L96" s="10"/>
      <c r="M96" s="10"/>
      <c r="N96" s="10"/>
      <c r="O96" s="10"/>
      <c r="P96" s="10"/>
      <c r="Q96" s="10"/>
    </row>
    <row r="97" spans="1:17" ht="15">
      <c r="A97" s="120" t="s">
        <v>103</v>
      </c>
      <c r="B97" s="122">
        <f>B96</f>
        <v>0</v>
      </c>
      <c r="C97" s="113"/>
      <c r="D97" s="123">
        <f t="shared" ref="D97:H97" si="27">D96</f>
        <v>47840</v>
      </c>
      <c r="E97" s="123">
        <f t="shared" si="27"/>
        <v>96830</v>
      </c>
      <c r="F97" s="123">
        <f t="shared" si="27"/>
        <v>135930</v>
      </c>
      <c r="G97" s="123">
        <f t="shared" si="27"/>
        <v>156400</v>
      </c>
      <c r="H97" s="123">
        <f t="shared" si="27"/>
        <v>156400</v>
      </c>
      <c r="I97" s="28"/>
      <c r="J97" s="10"/>
      <c r="K97" s="10"/>
      <c r="L97" s="10"/>
      <c r="M97" s="10"/>
      <c r="N97" s="10"/>
      <c r="O97" s="10"/>
      <c r="P97" s="10"/>
      <c r="Q97" s="10"/>
    </row>
    <row r="98" spans="1:17" ht="15">
      <c r="A98" s="124" t="s">
        <v>104</v>
      </c>
      <c r="B98" s="167">
        <f>B97+B95</f>
        <v>0</v>
      </c>
      <c r="C98" s="113"/>
      <c r="D98" s="168">
        <f>D97+D95</f>
        <v>63024</v>
      </c>
      <c r="E98" s="169">
        <f>E97+E95</f>
        <v>127563</v>
      </c>
      <c r="F98" s="169">
        <f>F97+F95</f>
        <v>179073</v>
      </c>
      <c r="G98" s="169">
        <f>G97+G95</f>
        <v>206040</v>
      </c>
      <c r="H98" s="169">
        <f>H97+H95</f>
        <v>206040</v>
      </c>
      <c r="I98" s="28"/>
      <c r="J98" s="10"/>
      <c r="K98" s="10"/>
      <c r="L98" s="10"/>
      <c r="M98" s="10"/>
      <c r="N98" s="10"/>
      <c r="O98" s="10"/>
      <c r="P98" s="10"/>
      <c r="Q98" s="10"/>
    </row>
    <row r="99" spans="1:17" ht="15">
      <c r="A99" s="170"/>
      <c r="B99" s="171"/>
      <c r="C99" s="76"/>
      <c r="D99" s="92"/>
      <c r="E99" s="91"/>
      <c r="F99" s="92"/>
      <c r="G99" s="91"/>
      <c r="H99" s="91"/>
      <c r="I99" s="10"/>
      <c r="J99" s="10"/>
      <c r="K99" s="10"/>
      <c r="L99" s="10"/>
      <c r="M99" s="10"/>
      <c r="N99" s="10"/>
      <c r="O99" s="10"/>
      <c r="P99" s="10"/>
      <c r="Q99" s="10"/>
    </row>
    <row r="100" spans="1:17" ht="14.25">
      <c r="A100" s="78"/>
      <c r="B100" s="78"/>
      <c r="C100" s="78"/>
      <c r="D100" s="77"/>
      <c r="E100" s="78"/>
      <c r="F100" s="77"/>
      <c r="G100" s="78"/>
      <c r="H100" s="78"/>
      <c r="I100" s="10"/>
      <c r="J100" s="10"/>
      <c r="K100" s="10"/>
      <c r="L100" s="10"/>
      <c r="M100" s="10"/>
      <c r="N100" s="10"/>
      <c r="O100" s="10"/>
      <c r="P100" s="10"/>
      <c r="Q100" s="10"/>
    </row>
    <row r="101" spans="1:17" ht="14.25">
      <c r="A101" s="630" t="s">
        <v>127</v>
      </c>
      <c r="B101" s="631"/>
      <c r="C101" s="632"/>
      <c r="D101" s="97" t="s">
        <v>78</v>
      </c>
      <c r="E101" s="97" t="s">
        <v>79</v>
      </c>
      <c r="F101" s="97" t="s">
        <v>80</v>
      </c>
      <c r="G101" s="97" t="s">
        <v>81</v>
      </c>
      <c r="H101" s="97" t="s">
        <v>82</v>
      </c>
      <c r="I101" s="28"/>
      <c r="J101" s="10"/>
      <c r="K101" s="10"/>
      <c r="L101" s="10"/>
      <c r="M101" s="10"/>
      <c r="N101" s="10"/>
      <c r="O101" s="10"/>
      <c r="P101" s="10"/>
      <c r="Q101" s="10"/>
    </row>
    <row r="102" spans="1:17" ht="14.25">
      <c r="A102" s="108"/>
      <c r="B102" s="109"/>
      <c r="C102" s="110"/>
      <c r="D102" s="110"/>
      <c r="E102" s="110"/>
      <c r="F102" s="110"/>
      <c r="G102" s="110"/>
      <c r="H102" s="110"/>
      <c r="I102" s="28"/>
      <c r="J102" s="10"/>
      <c r="K102" s="10"/>
      <c r="L102" s="10"/>
      <c r="M102" s="10"/>
      <c r="N102" s="10"/>
      <c r="O102" s="10"/>
      <c r="P102" s="10"/>
      <c r="Q102" s="10"/>
    </row>
    <row r="103" spans="1:17" ht="30">
      <c r="A103" s="172" t="s">
        <v>128</v>
      </c>
      <c r="B103" s="115"/>
      <c r="C103" s="81"/>
      <c r="D103" s="81">
        <f>Assumptions!E20</f>
        <v>245</v>
      </c>
      <c r="E103" s="81">
        <f>Assumptions!F20</f>
        <v>495</v>
      </c>
      <c r="F103" s="81">
        <f>Assumptions!G20</f>
        <v>695</v>
      </c>
      <c r="G103" s="81">
        <f>Assumptions!H20</f>
        <v>800</v>
      </c>
      <c r="H103" s="81">
        <f>Assumptions!I20</f>
        <v>800</v>
      </c>
      <c r="I103" s="28"/>
      <c r="J103" s="10"/>
      <c r="K103" s="10"/>
      <c r="L103" s="10"/>
      <c r="M103" s="10"/>
      <c r="N103" s="10"/>
      <c r="O103" s="10"/>
      <c r="P103" s="10"/>
      <c r="Q103" s="10"/>
    </row>
    <row r="104" spans="1:17" ht="15">
      <c r="A104" s="84" t="s">
        <v>122</v>
      </c>
      <c r="B104" s="162"/>
      <c r="C104" s="81"/>
      <c r="D104" s="173">
        <f>Assumptions!E29</f>
        <v>0.85</v>
      </c>
      <c r="E104" s="173">
        <f>Assumptions!F29</f>
        <v>0.85</v>
      </c>
      <c r="F104" s="173">
        <f>Assumptions!G29</f>
        <v>0.85</v>
      </c>
      <c r="G104" s="173">
        <f>Assumptions!H29</f>
        <v>0.85</v>
      </c>
      <c r="H104" s="173">
        <f>Assumptions!I29</f>
        <v>0.85</v>
      </c>
      <c r="I104" s="28"/>
      <c r="J104" s="10"/>
      <c r="K104" s="10"/>
      <c r="L104" s="10"/>
      <c r="M104" s="10"/>
      <c r="N104" s="10"/>
      <c r="O104" s="10"/>
      <c r="P104" s="10"/>
      <c r="Q104" s="10"/>
    </row>
    <row r="105" spans="1:17" ht="15">
      <c r="A105" s="84" t="s">
        <v>129</v>
      </c>
      <c r="B105" s="164"/>
      <c r="C105" s="81"/>
      <c r="D105" s="165">
        <f>ROUND((D103*D104),0)</f>
        <v>208</v>
      </c>
      <c r="E105" s="165">
        <f>ROUND((E103*E104),0)</f>
        <v>421</v>
      </c>
      <c r="F105" s="165">
        <f>ROUND((F103*F104),0)</f>
        <v>591</v>
      </c>
      <c r="G105" s="165">
        <f>ROUND((G103*G104),0)</f>
        <v>680</v>
      </c>
      <c r="H105" s="165">
        <f>ROUND((H103*H104),0)</f>
        <v>680</v>
      </c>
      <c r="I105" s="83"/>
      <c r="J105" s="76"/>
      <c r="K105" s="76"/>
      <c r="L105" s="76"/>
      <c r="M105" s="10"/>
      <c r="N105" s="10"/>
      <c r="O105" s="10"/>
      <c r="P105" s="10"/>
      <c r="Q105" s="10"/>
    </row>
    <row r="106" spans="1:17" ht="15">
      <c r="A106" s="84" t="s">
        <v>130</v>
      </c>
      <c r="B106" s="115"/>
      <c r="C106" s="81"/>
      <c r="D106" s="117">
        <f>D103-D105</f>
        <v>37</v>
      </c>
      <c r="E106" s="117">
        <f>E103-E105</f>
        <v>74</v>
      </c>
      <c r="F106" s="117">
        <f>F103-F105</f>
        <v>104</v>
      </c>
      <c r="G106" s="117">
        <f>G103-G105</f>
        <v>120</v>
      </c>
      <c r="H106" s="117">
        <f>H103-H105</f>
        <v>120</v>
      </c>
      <c r="I106" s="83"/>
      <c r="J106" s="76"/>
      <c r="K106" s="76"/>
      <c r="L106" s="76"/>
      <c r="M106" s="10"/>
      <c r="N106" s="10"/>
      <c r="O106" s="10"/>
      <c r="P106" s="10"/>
      <c r="Q106" s="10"/>
    </row>
    <row r="107" spans="1:17" ht="15">
      <c r="A107" s="84" t="s">
        <v>131</v>
      </c>
      <c r="B107" s="115"/>
      <c r="C107" s="81"/>
      <c r="D107" s="117">
        <f>ROUND((VLOOKUP(Assumptions!$C$3,$A$126:$E$130,2,FALSE)*D103),0)</f>
        <v>29155</v>
      </c>
      <c r="E107" s="117">
        <f>ROUND((VLOOKUP(Assumptions!$C$3,$A$126:$E$130,2,FALSE)*E103),0)</f>
        <v>58905</v>
      </c>
      <c r="F107" s="117">
        <f>ROUND((VLOOKUP(Assumptions!$C$3,$A$126:$E$130,2,FALSE)*F103),0)</f>
        <v>82705</v>
      </c>
      <c r="G107" s="117">
        <f>ROUND((VLOOKUP(Assumptions!$C$3,$A$126:$E$130,2,FALSE)*G103),0)</f>
        <v>95200</v>
      </c>
      <c r="H107" s="117">
        <f>ROUND((VLOOKUP(Assumptions!$C$3,$A$126:$E$130,2,FALSE)*H103),0)</f>
        <v>95200</v>
      </c>
      <c r="I107" s="83"/>
      <c r="J107" s="76"/>
      <c r="K107" s="76"/>
      <c r="L107" s="76"/>
      <c r="M107" s="10"/>
      <c r="N107" s="10"/>
      <c r="O107" s="10"/>
      <c r="P107" s="10"/>
      <c r="Q107" s="10"/>
    </row>
    <row r="108" spans="1:17" ht="15">
      <c r="A108" s="84" t="s">
        <v>132</v>
      </c>
      <c r="B108" s="115"/>
      <c r="C108" s="81"/>
      <c r="D108" s="117">
        <f>ROUND((D105*VLOOKUP(Assumptions!$C$3,$A$126:$E$130,3,FALSE)),0)</f>
        <v>11856</v>
      </c>
      <c r="E108" s="117">
        <f>ROUND((E105*VLOOKUP(Assumptions!$C$3,$A$126:$E$130,3,FALSE)),0)</f>
        <v>23997</v>
      </c>
      <c r="F108" s="117">
        <f>ROUND((F105*VLOOKUP(Assumptions!$C$3,$A$126:$E$130,3,FALSE)),0)</f>
        <v>33687</v>
      </c>
      <c r="G108" s="117">
        <f>ROUND((G105*VLOOKUP(Assumptions!$C$3,$A$126:$E$130,3,FALSE)),0)</f>
        <v>38760</v>
      </c>
      <c r="H108" s="117">
        <f>ROUND((H105*VLOOKUP(Assumptions!$C$3,$A$126:$E$130,3,FALSE)),0)</f>
        <v>38760</v>
      </c>
      <c r="I108" s="83"/>
      <c r="J108" s="76"/>
      <c r="K108" s="76"/>
      <c r="L108" s="76"/>
      <c r="M108" s="10"/>
      <c r="N108" s="10"/>
      <c r="O108" s="10"/>
      <c r="P108" s="10"/>
      <c r="Q108" s="10"/>
    </row>
    <row r="109" spans="1:17" ht="15">
      <c r="A109" s="84" t="s">
        <v>133</v>
      </c>
      <c r="B109" s="85"/>
      <c r="C109" s="81"/>
      <c r="D109" s="86">
        <f>IF(D110&gt;0,D103*D110*VLOOKUP(Assumptions!$C$3,$A$125:$E$130,5,FALSE),0)</f>
        <v>0</v>
      </c>
      <c r="E109" s="86">
        <f>IF(E110&gt;0,E103*E110*VLOOKUP(Assumptions!$C$3,$A$125:$E$130,5,FALSE),0)</f>
        <v>0</v>
      </c>
      <c r="F109" s="86">
        <f>IF(F110&gt;0,F103*F110*VLOOKUP(Assumptions!$C$3,$A$125:$E$130,5,FALSE),0)</f>
        <v>0</v>
      </c>
      <c r="G109" s="86">
        <f>IF(G110&gt;0,G103*G110*VLOOKUP(Assumptions!$C$3,$A$125:$E$130,5,FALSE),0)</f>
        <v>0</v>
      </c>
      <c r="H109" s="86">
        <f>IF(H110&gt;0,H103*H110*VLOOKUP(Assumptions!$C$3,$A$125:$E$130,5,FALSE),0)</f>
        <v>0</v>
      </c>
      <c r="I109" s="83"/>
      <c r="J109" s="76"/>
      <c r="K109" s="76"/>
      <c r="L109" s="76"/>
      <c r="M109" s="10"/>
      <c r="N109" s="10"/>
      <c r="O109" s="10"/>
      <c r="P109" s="10"/>
      <c r="Q109" s="10"/>
    </row>
    <row r="110" spans="1:17" ht="15">
      <c r="A110" s="84" t="s">
        <v>134</v>
      </c>
      <c r="B110" s="115"/>
      <c r="C110" s="81"/>
      <c r="D110" s="81">
        <f>Assumptions!E24</f>
        <v>0</v>
      </c>
      <c r="E110" s="173">
        <f>Assumptions!F24</f>
        <v>0</v>
      </c>
      <c r="F110" s="173">
        <f>Assumptions!G24</f>
        <v>0</v>
      </c>
      <c r="G110" s="173">
        <f>Assumptions!H24</f>
        <v>0</v>
      </c>
      <c r="H110" s="173">
        <f>Assumptions!I24</f>
        <v>0</v>
      </c>
      <c r="I110" s="83"/>
      <c r="J110" s="76"/>
      <c r="K110" s="76"/>
      <c r="L110" s="76"/>
      <c r="M110" s="10"/>
      <c r="N110" s="10"/>
      <c r="O110" s="10"/>
      <c r="P110" s="10"/>
      <c r="Q110" s="10"/>
    </row>
    <row r="111" spans="1:17" ht="15">
      <c r="A111" s="84" t="s">
        <v>135</v>
      </c>
      <c r="B111" s="115"/>
      <c r="C111" s="81"/>
      <c r="D111" s="117">
        <f>SUM(D107:D109)</f>
        <v>41011</v>
      </c>
      <c r="E111" s="117">
        <f>SUM(E107:E109)</f>
        <v>82902</v>
      </c>
      <c r="F111" s="117">
        <f>SUM(F107:F109)</f>
        <v>116392</v>
      </c>
      <c r="G111" s="117">
        <f>SUM(G107:G109)</f>
        <v>133960</v>
      </c>
      <c r="H111" s="117">
        <f>SUM(H107:H109)</f>
        <v>133960</v>
      </c>
      <c r="I111" s="83"/>
      <c r="J111" s="76"/>
      <c r="K111" s="76"/>
      <c r="L111" s="76"/>
      <c r="M111" s="10"/>
      <c r="N111" s="10"/>
      <c r="O111" s="10"/>
      <c r="P111" s="10"/>
      <c r="Q111" s="10"/>
    </row>
    <row r="112" spans="1:17" ht="15">
      <c r="A112" s="84" t="s">
        <v>136</v>
      </c>
      <c r="B112" s="174"/>
      <c r="C112" s="81"/>
      <c r="D112" s="175">
        <f>IF(Assumptions!$C$3="ES",IF(D103&gt;999,3,IF(D103&gt;700,2.5,IF(D103&gt;399,2,1))),IF(Assumptions!$C$3="K8",IF(D103&gt;999,3,IF(D103&gt;700,2.5,IF(D103&gt;399,2,1))),IF(Assumptions!$C$3="MS",IF(D103&gt;999,5,IF(D103&gt;750,4,IF(D103&gt;499,3,2))),IF(Assumptions!$C$3="6-12",IF(D103&gt;999,5,IF(D103&gt;750,4,IF(D103&gt;499,3,2))),IF(Assumptions!$C$3="HS",IF(D103&gt;999,5,IF(D103&gt;750,4,IF(D103&gt;499,3,2))))))))</f>
        <v>2</v>
      </c>
      <c r="E112" s="175">
        <f>IF(Assumptions!$C$3="ES",IF(E103&gt;999,3,IF(E103&gt;700,2.5,IF(E103&gt;399,2,1))),IF(Assumptions!$C$3="K8",IF(E103&gt;999,3,IF(E103&gt;700,2.5,IF(E103&gt;399,2,1))),IF(Assumptions!$C$3="MS",IF(E103&gt;999,5,IF(E103&gt;750,4,IF(E103&gt;499,3,2))),IF(Assumptions!$C$3="6-12",IF(E103&gt;999,5,IF(E103&gt;750,4,IF(E103&gt;499,3,2))),IF(Assumptions!$C$3="HS",IF(E103&gt;999,5,IF(E103&gt;750,4,IF(E103&gt;499,3,2))))))))</f>
        <v>2</v>
      </c>
      <c r="F112" s="175">
        <f>IF(Assumptions!$C$3="ES",IF(F103&gt;999,3,IF(F103&gt;700,2.5,IF(F103&gt;399,2,1))),IF(Assumptions!$C$3="K8",IF(F103&gt;999,3,IF(F103&gt;700,2.5,IF(F103&gt;399,2,1))),IF(Assumptions!$C$3="MS",IF(F103&gt;999,5,IF(F103&gt;750,4,IF(F103&gt;499,3,2))),IF(Assumptions!$C$3="6-12",IF(F103&gt;999,5,IF(F103&gt;750,4,IF(F103&gt;499,3,2))),IF(Assumptions!$C$3="HS",IF(F103&gt;999,5,IF(F103&gt;750,4,IF(F103&gt;499,3,2))))))))</f>
        <v>3</v>
      </c>
      <c r="G112" s="175">
        <f>IF(Assumptions!$C$3="ES",IF(G103&gt;999,3,IF(G103&gt;700,2.5,IF(G103&gt;399,2,1))),IF(Assumptions!$C$3="K8",IF(G103&gt;999,3,IF(G103&gt;700,2.5,IF(G103&gt;399,2,1))),IF(Assumptions!$C$3="MS",IF(G103&gt;999,5,IF(G103&gt;750,4,IF(G103&gt;499,3,2))),IF(Assumptions!$C$3="6-12",IF(G103&gt;999,5,IF(G103&gt;750,4,IF(G103&gt;499,3,2))),IF(Assumptions!$C$3="HS",IF(G103&gt;999,5,IF(G103&gt;750,4,IF(G103&gt;499,3,2))))))))</f>
        <v>4</v>
      </c>
      <c r="H112" s="175">
        <f>IF(Assumptions!$C$3="ES",IF(H103&gt;999,3,IF(H103&gt;700,2.5,IF(H103&gt;399,2,1))),IF(Assumptions!$C$3="K8",IF(H103&gt;999,3,IF(H103&gt;700,2.5,IF(H103&gt;399,2,1))),IF(Assumptions!$C$3="MS",IF(H103&gt;999,5,IF(H103&gt;750,4,IF(H103&gt;499,3,2))),IF(Assumptions!$C$3="6-12",IF(H103&gt;999,5,IF(H103&gt;750,4,IF(H103&gt;499,3,2))),IF(Assumptions!$C$3="HS",IF(H103&gt;999,5,IF(H103&gt;750,4,IF(H103&gt;499,3,2))))))))</f>
        <v>4</v>
      </c>
      <c r="I112" s="83"/>
      <c r="J112" s="76"/>
      <c r="K112" s="76"/>
      <c r="L112" s="76"/>
      <c r="M112" s="10"/>
      <c r="N112" s="10"/>
      <c r="O112" s="10"/>
      <c r="P112" s="10"/>
      <c r="Q112" s="10"/>
    </row>
    <row r="113" spans="1:17" ht="15">
      <c r="A113" s="84" t="s">
        <v>137</v>
      </c>
      <c r="B113" s="140"/>
      <c r="C113" s="81"/>
      <c r="D113" s="141">
        <f>IF(Assumptions!$C$3="ES",IF(D103&gt;399,2.5,2),IF(Assumptions!$C$3="K8",IF(D103&gt;399,2.5,2),IF(Assumptions!$C$3="MS",IF(D103&gt;600,5,4),IF(Assumptions!$C$3="6-12",IF(D103&gt;1000,6,5),IF(Assumptions!$C$3="HS",IF(D103&gt;1500,7,IF(D103&gt;1000,6,IF(D103&gt;770,5,4))))))))</f>
        <v>5</v>
      </c>
      <c r="E113" s="141">
        <f>IF(Assumptions!$C$3="ES",IF(E103&gt;399,2.5,2),IF(Assumptions!$C$3="K8",IF(E103&gt;399,2.5,2),IF(Assumptions!$C$3="MS",IF(E103&gt;600,5,4),IF(Assumptions!$C$3="6-12",IF(E103&gt;1000,6,5),IF(Assumptions!$C$3="HS",IF(E103&gt;1500,7,IF(E103&gt;1000,6,IF(E103&gt;770,5,4))))))))</f>
        <v>5</v>
      </c>
      <c r="F113" s="141">
        <f>IF(Assumptions!$C$3="ES",IF(F103&gt;399,2.5,2),IF(Assumptions!$C$3="K8",IF(F103&gt;399,2.5,2),IF(Assumptions!$C$3="MS",IF(F103&gt;600,5,4),IF(Assumptions!$C$3="6-12",IF(F103&gt;1000,6,5),IF(Assumptions!$C$3="HS",IF(F103&gt;1500,7,IF(F103&gt;1000,6,IF(F103&gt;770,5,4))))))))</f>
        <v>5</v>
      </c>
      <c r="G113" s="141">
        <f>IF(Assumptions!$C$3="ES",IF(G103&gt;399,2.5,2),IF(Assumptions!$C$3="K8",IF(G103&gt;399,2.5,2),IF(Assumptions!$C$3="MS",IF(G103&gt;600,5,4),IF(Assumptions!$C$3="6-12",IF(G103&gt;1000,6,5),IF(Assumptions!$C$3="HS",IF(G103&gt;1500,7,IF(G103&gt;1000,6,IF(G103&gt;770,5,4))))))))</f>
        <v>5</v>
      </c>
      <c r="H113" s="141">
        <f>IF(Assumptions!$C$3="ES",IF(H103&gt;399,2.5,2),IF(Assumptions!$C$3="K8",IF(H103&gt;399,2.5,2),IF(Assumptions!$C$3="MS",IF(H103&gt;600,5,4),IF(Assumptions!$C$3="6-12",IF(H103&gt;1000,6,5),IF(Assumptions!$C$3="HS",IF(H103&gt;1500,7,IF(H103&gt;1000,6,IF(H103&gt;770,5,4))))))))</f>
        <v>5</v>
      </c>
      <c r="I113" s="83"/>
      <c r="J113" s="76"/>
      <c r="K113" s="76"/>
      <c r="L113" s="76"/>
      <c r="M113" s="10"/>
      <c r="N113" s="10"/>
      <c r="O113" s="10"/>
      <c r="P113" s="10"/>
      <c r="Q113" s="10"/>
    </row>
    <row r="114" spans="1:17" ht="15">
      <c r="A114" s="84" t="s">
        <v>138</v>
      </c>
      <c r="B114" s="115"/>
      <c r="C114" s="81"/>
      <c r="D114" s="117">
        <f>D2*(D112+D113)</f>
        <v>103061</v>
      </c>
      <c r="E114" s="117">
        <f>E2*(E112+E113)</f>
        <v>104091.61</v>
      </c>
      <c r="F114" s="117">
        <f>F2*(F112+F113)</f>
        <v>120151.4584</v>
      </c>
      <c r="G114" s="117">
        <f>G2*(G112+G113)</f>
        <v>136522.09460700001</v>
      </c>
      <c r="H114" s="117">
        <f>H2*(H112+H113)</f>
        <v>137887.31555307002</v>
      </c>
      <c r="I114" s="83"/>
      <c r="J114" s="76"/>
      <c r="K114" s="76"/>
      <c r="L114" s="76"/>
      <c r="M114" s="10"/>
      <c r="N114" s="10"/>
      <c r="O114" s="10"/>
      <c r="P114" s="10"/>
      <c r="Q114" s="10"/>
    </row>
    <row r="115" spans="1:17" ht="15">
      <c r="A115" s="119" t="s">
        <v>139</v>
      </c>
      <c r="B115" s="115"/>
      <c r="C115" s="81"/>
      <c r="D115" s="117">
        <f>IF(D111-D114&lt;0,D111-D114,0)</f>
        <v>-62050</v>
      </c>
      <c r="E115" s="117">
        <f>IF(E111-E114&lt;0,E111-E114,0)</f>
        <v>-21189.61</v>
      </c>
      <c r="F115" s="117">
        <f>IF(F111-F114&lt;0,F111-F114,0)</f>
        <v>-3759.4584000000032</v>
      </c>
      <c r="G115" s="117">
        <f>IF(G111-G114&lt;0,G111-G114,0)</f>
        <v>-2562.0946070000064</v>
      </c>
      <c r="H115" s="117">
        <f>IF(H111-H114&lt;0,H111-H114,0)</f>
        <v>-3927.3155530700169</v>
      </c>
      <c r="I115" s="83"/>
      <c r="J115" s="76"/>
      <c r="K115" s="76"/>
      <c r="L115" s="76"/>
      <c r="M115" s="10"/>
      <c r="N115" s="10"/>
      <c r="O115" s="10"/>
      <c r="P115" s="10"/>
      <c r="Q115" s="10"/>
    </row>
    <row r="116" spans="1:17" ht="15">
      <c r="A116" s="119" t="s">
        <v>116</v>
      </c>
      <c r="B116" s="115"/>
      <c r="C116" s="81"/>
      <c r="D116" s="117">
        <f>IF(D111-D114&gt;0,D111-D114,0)</f>
        <v>0</v>
      </c>
      <c r="E116" s="117">
        <f>IF(E111-E114&gt;0,E111-E114,0)</f>
        <v>0</v>
      </c>
      <c r="F116" s="117">
        <f>IF(F111-F114&gt;0,F111-F114,0)</f>
        <v>0</v>
      </c>
      <c r="G116" s="117">
        <f>IF(G111-G114&gt;0,G111-G114,0)</f>
        <v>0</v>
      </c>
      <c r="H116" s="117">
        <f>IF(H111-H114&gt;0,H111-H114,0)</f>
        <v>0</v>
      </c>
      <c r="I116" s="83"/>
      <c r="J116" s="76"/>
      <c r="K116" s="76"/>
      <c r="L116" s="76"/>
      <c r="M116" s="10"/>
      <c r="N116" s="10"/>
      <c r="O116" s="10"/>
      <c r="P116" s="10"/>
      <c r="Q116" s="10"/>
    </row>
    <row r="117" spans="1:17" ht="15">
      <c r="A117" s="119" t="s">
        <v>117</v>
      </c>
      <c r="B117" s="115"/>
      <c r="C117" s="81"/>
      <c r="D117" s="117">
        <f>-D115</f>
        <v>62050</v>
      </c>
      <c r="E117" s="117">
        <f>-E115</f>
        <v>21189.61</v>
      </c>
      <c r="F117" s="117">
        <f>-F115</f>
        <v>3759.4584000000032</v>
      </c>
      <c r="G117" s="117">
        <f>-G115</f>
        <v>2562.0946070000064</v>
      </c>
      <c r="H117" s="117">
        <f>-H115</f>
        <v>3927.3155530700169</v>
      </c>
      <c r="I117" s="83"/>
      <c r="J117" s="76"/>
      <c r="K117" s="76"/>
      <c r="L117" s="76"/>
      <c r="M117" s="10"/>
      <c r="N117" s="10"/>
      <c r="O117" s="10"/>
      <c r="P117" s="10"/>
      <c r="Q117" s="10"/>
    </row>
    <row r="118" spans="1:17" ht="15">
      <c r="A118" s="119" t="s">
        <v>101</v>
      </c>
      <c r="B118" s="115"/>
      <c r="C118" s="81"/>
      <c r="D118" s="117">
        <f>D114</f>
        <v>103061</v>
      </c>
      <c r="E118" s="117">
        <f>E114</f>
        <v>104091.61</v>
      </c>
      <c r="F118" s="117">
        <f>F114</f>
        <v>120151.4584</v>
      </c>
      <c r="G118" s="117">
        <f>G114</f>
        <v>136522.09460700001</v>
      </c>
      <c r="H118" s="117">
        <f>H114</f>
        <v>137887.31555307002</v>
      </c>
      <c r="I118" s="83"/>
      <c r="J118" s="76"/>
      <c r="K118" s="76"/>
      <c r="L118" s="76"/>
      <c r="M118" s="10"/>
      <c r="N118" s="10"/>
      <c r="O118" s="10"/>
      <c r="P118" s="10"/>
      <c r="Q118" s="10"/>
    </row>
    <row r="119" spans="1:17" ht="15">
      <c r="A119" s="119" t="s">
        <v>102</v>
      </c>
      <c r="B119" s="115"/>
      <c r="C119" s="81"/>
      <c r="D119" s="117">
        <f>D116</f>
        <v>0</v>
      </c>
      <c r="E119" s="117">
        <f>E116</f>
        <v>0</v>
      </c>
      <c r="F119" s="117">
        <f>F116</f>
        <v>0</v>
      </c>
      <c r="G119" s="117">
        <f>G116</f>
        <v>0</v>
      </c>
      <c r="H119" s="117">
        <f>H116</f>
        <v>0</v>
      </c>
      <c r="I119" s="83"/>
      <c r="J119" s="76"/>
      <c r="K119" s="76"/>
      <c r="L119" s="76"/>
      <c r="M119" s="10"/>
      <c r="N119" s="10"/>
      <c r="O119" s="10"/>
      <c r="P119" s="10"/>
      <c r="Q119" s="10"/>
    </row>
    <row r="120" spans="1:17" ht="15">
      <c r="A120" s="176" t="s">
        <v>103</v>
      </c>
      <c r="B120" s="122"/>
      <c r="C120" s="81"/>
      <c r="D120" s="123">
        <f>D119</f>
        <v>0</v>
      </c>
      <c r="E120" s="123">
        <f>E119</f>
        <v>0</v>
      </c>
      <c r="F120" s="123">
        <f>F119</f>
        <v>0</v>
      </c>
      <c r="G120" s="123">
        <f>G119</f>
        <v>0</v>
      </c>
      <c r="H120" s="123">
        <f>H119</f>
        <v>0</v>
      </c>
      <c r="I120" s="83"/>
      <c r="J120" s="76"/>
      <c r="K120" s="76"/>
      <c r="L120" s="76"/>
      <c r="M120" s="10"/>
      <c r="N120" s="10"/>
      <c r="O120" s="10"/>
      <c r="P120" s="10"/>
      <c r="Q120" s="10"/>
    </row>
    <row r="121" spans="1:17" ht="15">
      <c r="A121" s="124" t="s">
        <v>140</v>
      </c>
      <c r="B121" s="167">
        <f>B120+B118</f>
        <v>0</v>
      </c>
      <c r="C121" s="81"/>
      <c r="D121" s="168">
        <f>D120+D118</f>
        <v>103061</v>
      </c>
      <c r="E121" s="169">
        <f>E120+E118</f>
        <v>104091.61</v>
      </c>
      <c r="F121" s="169">
        <f>F120+F118</f>
        <v>120151.4584</v>
      </c>
      <c r="G121" s="169">
        <f>G120+G118</f>
        <v>136522.09460700001</v>
      </c>
      <c r="H121" s="169">
        <f>H120+H118</f>
        <v>137887.31555307002</v>
      </c>
      <c r="I121" s="83"/>
      <c r="J121" s="76"/>
      <c r="K121" s="76"/>
      <c r="L121" s="76"/>
      <c r="M121" s="10"/>
      <c r="N121" s="10"/>
      <c r="O121" s="10"/>
      <c r="P121" s="10"/>
      <c r="Q121" s="10"/>
    </row>
    <row r="122" spans="1:17" ht="14.25">
      <c r="A122" s="108"/>
      <c r="B122" s="109"/>
      <c r="C122" s="28"/>
      <c r="D122" s="92"/>
      <c r="E122" s="91"/>
      <c r="F122" s="92"/>
      <c r="G122" s="92"/>
      <c r="H122" s="91"/>
      <c r="I122" s="76"/>
      <c r="J122" s="76"/>
      <c r="K122" s="76"/>
      <c r="L122" s="76"/>
      <c r="M122" s="10"/>
      <c r="N122" s="10"/>
      <c r="O122" s="10"/>
      <c r="P122" s="10"/>
      <c r="Q122" s="10"/>
    </row>
    <row r="123" spans="1:17" ht="14.25">
      <c r="A123" s="93" t="s">
        <v>141</v>
      </c>
      <c r="B123" s="131"/>
      <c r="C123" s="177"/>
      <c r="D123" s="77"/>
      <c r="E123" s="78"/>
      <c r="F123" s="10"/>
      <c r="G123" s="10"/>
      <c r="H123" s="76"/>
      <c r="I123" s="76"/>
      <c r="J123" s="76"/>
      <c r="K123" s="76"/>
      <c r="L123" s="76"/>
      <c r="M123" s="10"/>
      <c r="N123" s="10"/>
      <c r="O123" s="10"/>
      <c r="P123" s="10"/>
      <c r="Q123" s="10"/>
    </row>
    <row r="124" spans="1:17" ht="14.25">
      <c r="A124" s="108"/>
      <c r="B124" s="91"/>
      <c r="C124" s="92"/>
      <c r="D124" s="92"/>
      <c r="E124" s="109"/>
      <c r="F124" s="28"/>
      <c r="G124" s="10"/>
      <c r="H124" s="76"/>
      <c r="I124" s="76"/>
      <c r="J124" s="76"/>
      <c r="K124" s="76"/>
      <c r="L124" s="76"/>
      <c r="M124" s="10"/>
      <c r="N124" s="10"/>
      <c r="O124" s="10"/>
      <c r="P124" s="10"/>
      <c r="Q124" s="10"/>
    </row>
    <row r="125" spans="1:17" ht="14.25">
      <c r="A125" s="83" t="s">
        <v>142</v>
      </c>
      <c r="B125" s="76" t="s">
        <v>143</v>
      </c>
      <c r="C125" s="10" t="s">
        <v>132</v>
      </c>
      <c r="D125" s="10"/>
      <c r="E125" s="112" t="s">
        <v>133</v>
      </c>
      <c r="F125" s="83" t="s">
        <v>144</v>
      </c>
      <c r="G125" s="10"/>
      <c r="H125" s="76"/>
      <c r="I125" s="76"/>
      <c r="J125" s="76"/>
      <c r="K125" s="76"/>
      <c r="L125" s="76"/>
      <c r="M125" s="10"/>
      <c r="N125" s="10"/>
      <c r="O125" s="10"/>
      <c r="P125" s="10"/>
      <c r="Q125" s="10"/>
    </row>
    <row r="126" spans="1:17" ht="14.25">
      <c r="A126" s="83" t="s">
        <v>49</v>
      </c>
      <c r="B126" s="76">
        <v>115</v>
      </c>
      <c r="C126" s="10">
        <v>55</v>
      </c>
      <c r="D126" s="10"/>
      <c r="E126" s="112">
        <v>13</v>
      </c>
      <c r="F126" s="28"/>
      <c r="G126" s="10"/>
      <c r="H126" s="76"/>
      <c r="I126" s="76"/>
      <c r="J126" s="76"/>
      <c r="K126" s="76"/>
      <c r="L126" s="76"/>
      <c r="M126" s="10"/>
      <c r="N126" s="10"/>
      <c r="O126" s="10"/>
      <c r="P126" s="10"/>
      <c r="Q126" s="10"/>
    </row>
    <row r="127" spans="1:17" ht="14.25">
      <c r="A127" s="83" t="s">
        <v>54</v>
      </c>
      <c r="B127" s="76">
        <v>115</v>
      </c>
      <c r="C127" s="10">
        <v>55</v>
      </c>
      <c r="D127" s="10"/>
      <c r="E127" s="112">
        <v>13</v>
      </c>
      <c r="F127" s="28"/>
      <c r="G127" s="10"/>
      <c r="H127" s="76"/>
      <c r="I127" s="76"/>
      <c r="J127" s="76"/>
      <c r="K127" s="76"/>
      <c r="L127" s="76"/>
      <c r="M127" s="10"/>
      <c r="N127" s="10"/>
      <c r="O127" s="10"/>
      <c r="P127" s="10"/>
      <c r="Q127" s="10"/>
    </row>
    <row r="128" spans="1:17" ht="14.25">
      <c r="A128" s="83" t="s">
        <v>57</v>
      </c>
      <c r="B128" s="76">
        <v>117</v>
      </c>
      <c r="C128" s="10">
        <v>56</v>
      </c>
      <c r="D128" s="10"/>
      <c r="E128" s="112">
        <v>14</v>
      </c>
      <c r="F128" s="28"/>
      <c r="G128" s="10"/>
      <c r="H128" s="76"/>
      <c r="I128" s="76"/>
      <c r="J128" s="76"/>
      <c r="K128" s="76"/>
      <c r="L128" s="76"/>
      <c r="M128" s="10"/>
      <c r="N128" s="10"/>
      <c r="O128" s="10"/>
      <c r="P128" s="10"/>
      <c r="Q128" s="10"/>
    </row>
    <row r="129" spans="1:17" ht="14.25">
      <c r="A129" s="83" t="s">
        <v>10</v>
      </c>
      <c r="B129" s="76">
        <v>119</v>
      </c>
      <c r="C129" s="10">
        <v>57</v>
      </c>
      <c r="D129" s="10"/>
      <c r="E129" s="112">
        <v>14</v>
      </c>
      <c r="F129" s="28"/>
      <c r="G129" s="10"/>
      <c r="H129" s="178"/>
      <c r="I129" s="178"/>
      <c r="J129" s="76"/>
      <c r="K129" s="76"/>
      <c r="L129" s="76"/>
      <c r="M129" s="10"/>
      <c r="N129" s="10"/>
      <c r="O129" s="10"/>
      <c r="P129" s="10"/>
      <c r="Q129" s="10"/>
    </row>
    <row r="130" spans="1:17" ht="14.25">
      <c r="A130" s="93" t="s">
        <v>65</v>
      </c>
      <c r="B130" s="78">
        <v>106</v>
      </c>
      <c r="C130" s="77">
        <v>52</v>
      </c>
      <c r="D130" s="77"/>
      <c r="E130" s="131">
        <v>11</v>
      </c>
      <c r="F130" s="28"/>
      <c r="G130" s="179" t="s">
        <v>49</v>
      </c>
      <c r="H130" s="180">
        <f>IF(D103&gt;999,3,IF(D103&gt;700,2.5,IF(D103&gt;399,2,1)))</f>
        <v>1</v>
      </c>
      <c r="I130" s="180">
        <f>IF(D103&gt;399,2.5,2)</f>
        <v>2</v>
      </c>
      <c r="J130" s="181"/>
      <c r="K130" s="76"/>
      <c r="L130" s="76"/>
      <c r="M130" s="10"/>
      <c r="N130" s="10"/>
      <c r="O130" s="10"/>
      <c r="P130" s="10"/>
      <c r="Q130" s="10"/>
    </row>
    <row r="131" spans="1:17" ht="14.25">
      <c r="A131" s="91"/>
      <c r="B131" s="91"/>
      <c r="C131" s="92"/>
      <c r="D131" s="92"/>
      <c r="E131" s="91"/>
      <c r="F131" s="10"/>
      <c r="G131" s="10"/>
      <c r="H131" s="182"/>
      <c r="I131" s="182"/>
      <c r="J131" s="76"/>
      <c r="K131" s="76"/>
      <c r="L131" s="76"/>
      <c r="M131" s="10"/>
      <c r="N131" s="10"/>
      <c r="O131" s="10"/>
      <c r="P131" s="10"/>
      <c r="Q131" s="10"/>
    </row>
    <row r="132" spans="1:17" ht="14.25">
      <c r="A132" s="76"/>
      <c r="B132" s="76"/>
      <c r="C132" s="10"/>
      <c r="D132" s="10"/>
      <c r="E132" s="76"/>
      <c r="F132" s="10"/>
      <c r="G132" s="10"/>
      <c r="H132" s="76"/>
      <c r="I132" s="76"/>
      <c r="J132" s="76"/>
      <c r="K132" s="76"/>
      <c r="L132" s="76"/>
      <c r="M132" s="10"/>
      <c r="N132" s="10"/>
      <c r="O132" s="10"/>
      <c r="P132" s="10"/>
      <c r="Q132" s="10"/>
    </row>
    <row r="133" spans="1:17" ht="14.25">
      <c r="A133" s="76"/>
      <c r="B133" s="76"/>
      <c r="C133" s="76"/>
      <c r="D133" s="10"/>
      <c r="E133" s="76"/>
      <c r="F133" s="10"/>
      <c r="G133" s="10"/>
      <c r="H133" s="76"/>
      <c r="I133" s="76"/>
      <c r="J133" s="76"/>
      <c r="K133" s="76"/>
      <c r="L133" s="76"/>
      <c r="M133" s="10"/>
      <c r="N133" s="10"/>
      <c r="O133" s="10"/>
      <c r="P133" s="10"/>
      <c r="Q133" s="10"/>
    </row>
    <row r="134" spans="1:17" ht="14.25">
      <c r="A134" s="76" t="s">
        <v>145</v>
      </c>
      <c r="B134" s="76"/>
      <c r="C134" s="76"/>
      <c r="D134" s="10"/>
      <c r="E134" s="76"/>
      <c r="F134" s="10"/>
      <c r="G134" s="10"/>
      <c r="H134" s="76"/>
      <c r="I134" s="76"/>
      <c r="J134" s="76"/>
      <c r="K134" s="76"/>
      <c r="L134" s="76"/>
      <c r="M134" s="10"/>
      <c r="N134" s="10"/>
      <c r="O134" s="10"/>
      <c r="P134" s="10"/>
      <c r="Q134" s="10"/>
    </row>
    <row r="135" spans="1:17" ht="14.25">
      <c r="A135" s="76" t="s">
        <v>146</v>
      </c>
      <c r="B135" s="76">
        <f>Assumptions!E23</f>
        <v>14.000000000000002</v>
      </c>
      <c r="C135" s="76"/>
      <c r="D135" s="10"/>
      <c r="E135" s="76"/>
      <c r="F135" s="10"/>
      <c r="G135" s="10"/>
      <c r="H135" s="76"/>
      <c r="I135" s="76"/>
      <c r="J135" s="76"/>
      <c r="K135" s="76"/>
      <c r="L135" s="76"/>
      <c r="M135" s="10"/>
      <c r="N135" s="10"/>
      <c r="O135" s="10"/>
      <c r="P135" s="10"/>
      <c r="Q135" s="10"/>
    </row>
    <row r="136" spans="1:17" ht="14.25">
      <c r="A136" s="76" t="s">
        <v>147</v>
      </c>
      <c r="B136" s="76">
        <f>IF(OR(Assumptions!C3="ES",Assumptions!C3="K8"),24,0)</f>
        <v>0</v>
      </c>
      <c r="C136" s="76"/>
      <c r="D136" s="10"/>
      <c r="E136" s="76"/>
      <c r="F136" s="10"/>
      <c r="G136" s="10"/>
      <c r="H136" s="76"/>
      <c r="I136" s="76"/>
      <c r="J136" s="76"/>
      <c r="K136" s="76"/>
      <c r="L136" s="76"/>
      <c r="M136" s="10"/>
      <c r="N136" s="10"/>
      <c r="O136" s="10"/>
      <c r="P136" s="10"/>
      <c r="Q136" s="10"/>
    </row>
  </sheetData>
  <mergeCells count="5">
    <mergeCell ref="A15:D15"/>
    <mergeCell ref="A33:C33"/>
    <mergeCell ref="A52:B52"/>
    <mergeCell ref="A85:C85"/>
    <mergeCell ref="A101:C101"/>
  </mergeCells>
  <pageMargins left="0.20000004800000001" right="0.20000004800000001" top="0.75" bottom="0.75" header="0.30000001192092901" footer="0.30000001192092901"/>
  <pageSetup scale="9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dimension ref="A1:IV49"/>
  <sheetViews>
    <sheetView showGridLines="0" view="pageBreakPreview" topLeftCell="C1" zoomScale="60" zoomScaleNormal="75" workbookViewId="0">
      <selection activeCell="C1" sqref="A1:XFD1048576"/>
    </sheetView>
  </sheetViews>
  <sheetFormatPr defaultColWidth="11" defaultRowHeight="20.100000000000001" customHeight="1" outlineLevelRow="1"/>
  <cols>
    <col min="1" max="1" width="7.875" style="5" hidden="1" customWidth="1"/>
    <col min="2" max="2" width="24.875" style="5" hidden="1" customWidth="1"/>
    <col min="3" max="3" width="71.75" style="5" customWidth="1"/>
    <col min="4" max="4" width="13.5" style="5" customWidth="1"/>
    <col min="5" max="5" width="14.5" style="5" customWidth="1"/>
    <col min="6" max="9" width="13.375" style="5" bestFit="1" customWidth="1"/>
    <col min="10" max="10" width="4.625" style="5" hidden="1" customWidth="1"/>
    <col min="11" max="11" width="14.625" style="5" hidden="1" customWidth="1"/>
    <col min="12" max="12" width="7.875" style="5" hidden="1" customWidth="1"/>
    <col min="13" max="13" width="13.25" style="5" hidden="1" customWidth="1"/>
    <col min="14" max="14" width="10.625" style="5" hidden="1" customWidth="1"/>
    <col min="15" max="15" width="12.25" style="5" hidden="1" customWidth="1"/>
    <col min="16" max="16" width="11.25" style="5" hidden="1" customWidth="1"/>
    <col min="17" max="256" width="10.25" style="5" customWidth="1"/>
  </cols>
  <sheetData>
    <row r="1" spans="1:16" ht="18">
      <c r="A1" s="183"/>
      <c r="B1" s="184"/>
      <c r="C1" s="185" t="str">
        <f>Assumptions!$C$2&amp;" - REVENUE"</f>
        <v>DCIS 6-12 - REVENUE</v>
      </c>
      <c r="D1" s="90"/>
      <c r="E1" s="186"/>
      <c r="F1" s="90"/>
      <c r="G1" s="186"/>
      <c r="H1" s="186"/>
      <c r="I1" s="187"/>
      <c r="J1" s="188"/>
      <c r="K1" s="187"/>
      <c r="L1" s="189"/>
      <c r="M1" s="183"/>
      <c r="N1" s="183"/>
      <c r="O1" s="183"/>
      <c r="P1" s="183"/>
    </row>
    <row r="2" spans="1:16" ht="15.75">
      <c r="A2" s="183"/>
      <c r="B2" s="190"/>
      <c r="C2" s="191"/>
      <c r="D2" s="192"/>
      <c r="E2" s="193"/>
      <c r="F2" s="192"/>
      <c r="G2" s="194"/>
      <c r="H2" s="192"/>
      <c r="I2" s="192"/>
      <c r="J2" s="195"/>
      <c r="K2" s="192"/>
      <c r="L2" s="183"/>
      <c r="M2" s="183"/>
      <c r="N2" s="183"/>
      <c r="O2" s="183"/>
      <c r="P2" s="183"/>
    </row>
    <row r="3" spans="1:16" ht="15.75">
      <c r="A3" s="183"/>
      <c r="B3" s="190"/>
      <c r="C3" s="196"/>
      <c r="D3" s="197" t="s">
        <v>150</v>
      </c>
      <c r="E3" s="197" t="s">
        <v>151</v>
      </c>
      <c r="F3" s="197" t="s">
        <v>152</v>
      </c>
      <c r="G3" s="197" t="s">
        <v>153</v>
      </c>
      <c r="H3" s="197" t="s">
        <v>154</v>
      </c>
      <c r="I3" s="197" t="s">
        <v>155</v>
      </c>
      <c r="J3" s="198"/>
      <c r="K3" s="197" t="s">
        <v>156</v>
      </c>
      <c r="L3" s="199"/>
      <c r="M3" s="183"/>
      <c r="N3" s="183"/>
      <c r="O3" s="183"/>
      <c r="P3" s="183"/>
    </row>
    <row r="4" spans="1:16" ht="15.75">
      <c r="A4" s="183"/>
      <c r="B4" s="200"/>
      <c r="C4" s="201" t="s">
        <v>157</v>
      </c>
      <c r="D4" s="202"/>
      <c r="E4" s="202"/>
      <c r="F4" s="202"/>
      <c r="G4" s="202"/>
      <c r="H4" s="202"/>
      <c r="I4" s="202"/>
      <c r="J4" s="198"/>
      <c r="K4" s="202"/>
      <c r="L4" s="199"/>
      <c r="M4" s="183"/>
      <c r="N4" s="183"/>
      <c r="O4" s="183"/>
      <c r="P4" s="183"/>
    </row>
    <row r="5" spans="1:16" ht="15">
      <c r="A5" s="183"/>
      <c r="B5" s="98"/>
      <c r="C5" s="203"/>
      <c r="D5" s="204"/>
      <c r="E5" s="204"/>
      <c r="F5" s="204"/>
      <c r="G5" s="204"/>
      <c r="H5" s="204"/>
      <c r="I5" s="204"/>
      <c r="J5" s="198"/>
      <c r="K5" s="204"/>
      <c r="L5" s="199"/>
      <c r="M5" s="183"/>
      <c r="N5" s="183"/>
      <c r="O5" s="183"/>
      <c r="P5" s="183"/>
    </row>
    <row r="6" spans="1:16" ht="15.75">
      <c r="A6" s="10"/>
      <c r="B6" s="10"/>
      <c r="C6" s="205" t="s">
        <v>158</v>
      </c>
      <c r="D6" s="206">
        <f>SUM(D7:D10)</f>
        <v>0</v>
      </c>
      <c r="E6" s="206">
        <f>SUM(E7:E10)</f>
        <v>980161</v>
      </c>
      <c r="F6" s="206">
        <f t="shared" ref="F6:I6" si="0">SUM(F7:F10)</f>
        <v>1876191.61</v>
      </c>
      <c r="G6" s="206">
        <f t="shared" si="0"/>
        <v>2608251.4583999999</v>
      </c>
      <c r="H6" s="206">
        <f t="shared" si="0"/>
        <v>3000522.0946070002</v>
      </c>
      <c r="I6" s="206">
        <f t="shared" si="0"/>
        <v>3001887.31555307</v>
      </c>
      <c r="J6" s="198"/>
      <c r="K6" s="206">
        <f>SUM(D6:I6)</f>
        <v>11467013.478560071</v>
      </c>
      <c r="L6" s="199"/>
      <c r="M6" s="183"/>
      <c r="N6" s="183"/>
      <c r="O6" s="183"/>
      <c r="P6" s="183"/>
    </row>
    <row r="7" spans="1:16" ht="15">
      <c r="A7" s="183" t="s">
        <v>159</v>
      </c>
      <c r="B7" s="10" t="s">
        <v>99</v>
      </c>
      <c r="C7" s="207" t="s">
        <v>160</v>
      </c>
      <c r="D7" s="208">
        <v>0</v>
      </c>
      <c r="E7" s="208">
        <f>'Calculations - Table 1'!D43</f>
        <v>817075</v>
      </c>
      <c r="F7" s="208">
        <f>'Calculations - Table 1'!E43</f>
        <v>1650825</v>
      </c>
      <c r="G7" s="208">
        <f>'Calculations - Table 1'!F43</f>
        <v>2317825</v>
      </c>
      <c r="H7" s="208">
        <f>'Calculations - Table 1'!G43</f>
        <v>2668000</v>
      </c>
      <c r="I7" s="208">
        <f>'Calculations - Table 1'!H43</f>
        <v>2668000</v>
      </c>
      <c r="J7" s="198"/>
      <c r="K7" s="208">
        <f t="shared" ref="K7:K10" si="1">SUM(D7:I7)</f>
        <v>10121725</v>
      </c>
      <c r="L7" s="199"/>
      <c r="M7" s="183"/>
      <c r="N7" s="183"/>
      <c r="O7" s="183"/>
      <c r="P7" s="183"/>
    </row>
    <row r="8" spans="1:16" ht="15">
      <c r="A8" s="183" t="s">
        <v>159</v>
      </c>
      <c r="B8" s="10" t="s">
        <v>161</v>
      </c>
      <c r="C8" s="207" t="s">
        <v>162</v>
      </c>
      <c r="D8" s="208">
        <f>'Calculations - Table 1'!I17</f>
        <v>0</v>
      </c>
      <c r="E8" s="208">
        <f>'Calculations - Table 1'!D17</f>
        <v>47285</v>
      </c>
      <c r="F8" s="208">
        <f>'Calculations - Table 1'!E17</f>
        <v>95535</v>
      </c>
      <c r="G8" s="208">
        <f>'Calculations - Table 1'!F17</f>
        <v>134135</v>
      </c>
      <c r="H8" s="208">
        <f>'Calculations - Table 1'!G17</f>
        <v>154400</v>
      </c>
      <c r="I8" s="208">
        <f>'Calculations - Table 1'!H17</f>
        <v>154400</v>
      </c>
      <c r="J8" s="198"/>
      <c r="K8" s="208">
        <f t="shared" si="1"/>
        <v>585755</v>
      </c>
      <c r="L8" s="199"/>
      <c r="M8" s="183"/>
      <c r="N8" s="183"/>
      <c r="O8" s="183"/>
      <c r="P8" s="183"/>
    </row>
    <row r="9" spans="1:16" ht="15">
      <c r="A9" s="183"/>
      <c r="B9" s="10" t="s">
        <v>163</v>
      </c>
      <c r="C9" s="207" t="s">
        <v>164</v>
      </c>
      <c r="D9" s="208">
        <f>'Calculations - Table 1'!I18</f>
        <v>0</v>
      </c>
      <c r="E9" s="208">
        <f>'Calculations - Table 1'!D18</f>
        <v>12740</v>
      </c>
      <c r="F9" s="208">
        <f>'Calculations - Table 1'!E18</f>
        <v>25740</v>
      </c>
      <c r="G9" s="208">
        <f>'Calculations - Table 1'!F18</f>
        <v>36140</v>
      </c>
      <c r="H9" s="208">
        <f>'Calculations - Table 1'!G18</f>
        <v>41600</v>
      </c>
      <c r="I9" s="208">
        <f>'Calculations - Table 1'!H18</f>
        <v>41600</v>
      </c>
      <c r="J9" s="198"/>
      <c r="K9" s="208">
        <f t="shared" si="1"/>
        <v>157820</v>
      </c>
      <c r="L9" s="199"/>
      <c r="M9" s="183"/>
      <c r="N9" s="183"/>
      <c r="O9" s="183"/>
      <c r="P9" s="183"/>
    </row>
    <row r="10" spans="1:16" ht="15">
      <c r="A10" s="183" t="s">
        <v>159</v>
      </c>
      <c r="B10" s="10" t="s">
        <v>165</v>
      </c>
      <c r="C10" s="207" t="s">
        <v>166</v>
      </c>
      <c r="D10" s="208">
        <f>'Calculations - Table 1'!Q53</f>
        <v>0</v>
      </c>
      <c r="E10" s="208">
        <f>'Calculations - Table 1'!D118</f>
        <v>103061</v>
      </c>
      <c r="F10" s="208">
        <f>'Calculations - Table 1'!E118</f>
        <v>104091.61</v>
      </c>
      <c r="G10" s="208">
        <f>'Calculations - Table 1'!F118</f>
        <v>120151.4584</v>
      </c>
      <c r="H10" s="208">
        <f>'Calculations - Table 1'!G118</f>
        <v>136522.09460700001</v>
      </c>
      <c r="I10" s="208">
        <f>'Calculations - Table 1'!H118</f>
        <v>137887.31555307002</v>
      </c>
      <c r="J10" s="198"/>
      <c r="K10" s="208">
        <f t="shared" si="1"/>
        <v>601713.47856007004</v>
      </c>
      <c r="L10" s="199"/>
      <c r="M10" s="183"/>
      <c r="N10" s="183"/>
      <c r="O10" s="183"/>
      <c r="P10" s="183"/>
    </row>
    <row r="11" spans="1:16" ht="15">
      <c r="A11" s="183"/>
      <c r="B11" s="98"/>
      <c r="C11" s="207"/>
      <c r="D11" s="208"/>
      <c r="E11" s="208"/>
      <c r="F11" s="208"/>
      <c r="G11" s="208"/>
      <c r="H11" s="208"/>
      <c r="I11" s="208"/>
      <c r="J11" s="198"/>
      <c r="K11" s="208"/>
      <c r="L11" s="199"/>
      <c r="M11" s="183"/>
      <c r="N11" s="183"/>
      <c r="O11" s="183"/>
      <c r="P11" s="183"/>
    </row>
    <row r="12" spans="1:16" ht="15.75">
      <c r="A12" s="183"/>
      <c r="B12" s="10" t="s">
        <v>167</v>
      </c>
      <c r="C12" s="205" t="s">
        <v>168</v>
      </c>
      <c r="D12" s="206">
        <f>'Calculations - Table 1'!J65</f>
        <v>0</v>
      </c>
      <c r="E12" s="206">
        <f>'Calculations - Table 1'!D98+'Calculations - Table 1'!D120</f>
        <v>63024</v>
      </c>
      <c r="F12" s="206">
        <f>'Calculations - Table 1'!E98+'Calculations - Table 1'!E120</f>
        <v>127563</v>
      </c>
      <c r="G12" s="206">
        <f>'Calculations - Table 1'!F98+'Calculations - Table 1'!F120</f>
        <v>179073</v>
      </c>
      <c r="H12" s="206">
        <f>'Calculations - Table 1'!G98+'Calculations - Table 1'!G120</f>
        <v>206040</v>
      </c>
      <c r="I12" s="206">
        <f>'Calculations - Table 1'!H98+'Calculations - Table 1'!H120</f>
        <v>206040</v>
      </c>
      <c r="J12" s="198"/>
      <c r="K12" s="206">
        <f t="shared" ref="K12:K14" si="2">SUM(D12:I12)</f>
        <v>781740</v>
      </c>
      <c r="L12" s="199"/>
      <c r="M12" s="183"/>
      <c r="N12" s="183"/>
      <c r="O12" s="183"/>
      <c r="P12" s="183"/>
    </row>
    <row r="13" spans="1:16" ht="15.75">
      <c r="A13" s="183"/>
      <c r="B13" s="98" t="s">
        <v>169</v>
      </c>
      <c r="C13" s="205" t="s">
        <v>170</v>
      </c>
      <c r="D13" s="206">
        <f>'Calculations - Table 1'!I19+'Calculations - Table 1'!I20</f>
        <v>0</v>
      </c>
      <c r="E13" s="206">
        <f>'Calculations - Table 1'!D19+'Calculations - Table 1'!D20</f>
        <v>16581</v>
      </c>
      <c r="F13" s="206">
        <f>'Calculations - Table 1'!E19+'Calculations - Table 1'!E20</f>
        <v>16840.86</v>
      </c>
      <c r="G13" s="206">
        <f>'Calculations - Table 1'!F19+'Calculations - Table 1'!F20</f>
        <v>17102.368600000002</v>
      </c>
      <c r="H13" s="206">
        <f>'Calculations - Table 1'!G19+'Calculations - Table 1'!G20</f>
        <v>17365.542286000004</v>
      </c>
      <c r="I13" s="206">
        <f>'Calculations - Table 1'!H19+'Calculations - Table 1'!H20</f>
        <v>17535.397708860004</v>
      </c>
      <c r="J13" s="198"/>
      <c r="K13" s="206">
        <f t="shared" si="2"/>
        <v>85425.168594860021</v>
      </c>
      <c r="L13" s="199"/>
      <c r="M13" s="183"/>
      <c r="N13" s="183"/>
      <c r="O13" s="183"/>
      <c r="P13" s="183"/>
    </row>
    <row r="14" spans="1:16" ht="15.75">
      <c r="A14" s="183"/>
      <c r="B14" s="98" t="s">
        <v>171</v>
      </c>
      <c r="C14" s="205" t="s">
        <v>172</v>
      </c>
      <c r="D14" s="206">
        <v>0</v>
      </c>
      <c r="E14" s="206">
        <f>'Calculations - Table 1'!D74</f>
        <v>77723</v>
      </c>
      <c r="F14" s="206">
        <f>'Calculations - Table 1'!E74</f>
        <v>157116</v>
      </c>
      <c r="G14" s="206">
        <f>'Calculations - Table 1'!F74</f>
        <v>220586</v>
      </c>
      <c r="H14" s="206">
        <f>'Calculations - Table 1'!G74</f>
        <v>271769</v>
      </c>
      <c r="I14" s="206">
        <f>'Calculations - Table 1'!H74</f>
        <v>274486</v>
      </c>
      <c r="J14" s="198"/>
      <c r="K14" s="206">
        <f t="shared" si="2"/>
        <v>1001680</v>
      </c>
      <c r="L14" s="199"/>
      <c r="M14" s="183"/>
      <c r="N14" s="183"/>
      <c r="O14" s="183"/>
      <c r="P14" s="183"/>
    </row>
    <row r="15" spans="1:16" ht="15.75">
      <c r="A15" s="183"/>
      <c r="B15" s="98" t="s">
        <v>173</v>
      </c>
      <c r="C15" s="205" t="s">
        <v>174</v>
      </c>
      <c r="D15" s="206">
        <v>0</v>
      </c>
      <c r="E15" s="206">
        <v>0</v>
      </c>
      <c r="F15" s="206">
        <v>0</v>
      </c>
      <c r="G15" s="206">
        <v>0</v>
      </c>
      <c r="H15" s="206">
        <v>0</v>
      </c>
      <c r="I15" s="206">
        <v>0</v>
      </c>
      <c r="J15" s="198"/>
      <c r="K15" s="206"/>
      <c r="L15" s="199"/>
      <c r="M15" s="183"/>
      <c r="N15" s="183"/>
      <c r="O15" s="183"/>
      <c r="P15" s="183"/>
    </row>
    <row r="16" spans="1:16" ht="15">
      <c r="A16" s="183"/>
      <c r="B16" s="98"/>
      <c r="C16" s="207"/>
      <c r="D16" s="208"/>
      <c r="E16" s="208"/>
      <c r="F16" s="208"/>
      <c r="G16" s="208"/>
      <c r="H16" s="208"/>
      <c r="I16" s="208"/>
      <c r="J16" s="198"/>
      <c r="K16" s="208"/>
      <c r="L16" s="199"/>
      <c r="M16" s="183"/>
      <c r="N16" s="183"/>
      <c r="O16" s="183"/>
      <c r="P16" s="183"/>
    </row>
    <row r="17" spans="1:16" ht="15.75" hidden="1">
      <c r="A17" s="183"/>
      <c r="B17" s="10" t="s">
        <v>167</v>
      </c>
      <c r="C17" s="209" t="s">
        <v>117</v>
      </c>
      <c r="D17" s="210">
        <f>'Calculations - Table 1'!J70</f>
        <v>0</v>
      </c>
      <c r="E17" s="210">
        <f>-'Calculations - Table 1'!D11</f>
        <v>-62050</v>
      </c>
      <c r="F17" s="210">
        <f>-'Calculations - Table 1'!E11</f>
        <v>-21189.61</v>
      </c>
      <c r="G17" s="210">
        <f>-'Calculations - Table 1'!F11</f>
        <v>-3759.4584000000032</v>
      </c>
      <c r="H17" s="210">
        <f>-'Calculations - Table 1'!G11</f>
        <v>-20451.094607000006</v>
      </c>
      <c r="I17" s="210">
        <f>-'Calculations - Table 1'!H11</f>
        <v>-24533.315553070017</v>
      </c>
      <c r="J17" s="198"/>
      <c r="K17" s="210">
        <f>SUM(D17:I17)</f>
        <v>-131983.47856007004</v>
      </c>
      <c r="L17" s="199"/>
      <c r="M17" s="183"/>
      <c r="N17" s="183"/>
      <c r="O17" s="183"/>
      <c r="P17" s="183"/>
    </row>
    <row r="18" spans="1:16" ht="18">
      <c r="A18" s="211"/>
      <c r="B18" s="212"/>
      <c r="C18" s="213" t="s">
        <v>157</v>
      </c>
      <c r="D18" s="214">
        <f>D6+SUM(D12:D14)</f>
        <v>0</v>
      </c>
      <c r="E18" s="214">
        <f>E6+SUM(E12:E14)+E17</f>
        <v>1075439</v>
      </c>
      <c r="F18" s="214">
        <f t="shared" ref="F18:I18" si="3">F6+SUM(F12:F14)+F17</f>
        <v>2156521.8600000003</v>
      </c>
      <c r="G18" s="214">
        <f t="shared" si="3"/>
        <v>3021253.3686000002</v>
      </c>
      <c r="H18" s="214">
        <f t="shared" si="3"/>
        <v>3475245.5422860002</v>
      </c>
      <c r="I18" s="214">
        <f t="shared" si="3"/>
        <v>3475415.3977088602</v>
      </c>
      <c r="J18" s="215"/>
      <c r="K18" s="214">
        <f>K6+SUM(K12:K14)</f>
        <v>13335858.647154931</v>
      </c>
      <c r="L18" s="216"/>
      <c r="M18" s="217"/>
      <c r="N18" s="211"/>
      <c r="O18" s="217"/>
      <c r="P18" s="211"/>
    </row>
    <row r="19" spans="1:16" ht="15">
      <c r="A19" s="10"/>
      <c r="B19" s="10"/>
      <c r="C19" s="218"/>
      <c r="D19" s="219"/>
      <c r="E19" s="219"/>
      <c r="F19" s="219"/>
      <c r="G19" s="219"/>
      <c r="H19" s="219"/>
      <c r="I19" s="219"/>
      <c r="J19" s="198"/>
      <c r="K19" s="219"/>
      <c r="L19" s="199"/>
      <c r="M19" s="183"/>
      <c r="N19" s="183"/>
      <c r="O19" s="183"/>
      <c r="P19" s="183"/>
    </row>
    <row r="20" spans="1:16" ht="15.75" outlineLevel="1">
      <c r="A20" s="183"/>
      <c r="B20" s="200"/>
      <c r="C20" s="220" t="s">
        <v>175</v>
      </c>
      <c r="D20" s="221"/>
      <c r="E20" s="221"/>
      <c r="F20" s="221"/>
      <c r="G20" s="221"/>
      <c r="H20" s="221"/>
      <c r="I20" s="221"/>
      <c r="J20" s="198"/>
      <c r="K20" s="221"/>
      <c r="L20" s="199"/>
      <c r="M20" s="183"/>
      <c r="N20" s="183"/>
      <c r="O20" s="183"/>
      <c r="P20" s="222"/>
    </row>
    <row r="21" spans="1:16" ht="15" outlineLevel="1">
      <c r="A21" s="183"/>
      <c r="B21" s="98"/>
      <c r="C21" s="203"/>
      <c r="D21" s="204"/>
      <c r="E21" s="204"/>
      <c r="F21" s="204"/>
      <c r="G21" s="204"/>
      <c r="H21" s="204"/>
      <c r="I21" s="204"/>
      <c r="J21" s="198"/>
      <c r="K21" s="204"/>
      <c r="L21" s="199"/>
      <c r="M21" s="183"/>
      <c r="N21" s="183"/>
      <c r="O21" s="183"/>
      <c r="P21" s="183"/>
    </row>
    <row r="22" spans="1:16" ht="15.75" outlineLevel="1">
      <c r="A22" s="183"/>
      <c r="B22" s="98" t="s">
        <v>176</v>
      </c>
      <c r="C22" s="205" t="s">
        <v>177</v>
      </c>
      <c r="D22" s="206">
        <f>'Calculations - Table 1'!I21</f>
        <v>0</v>
      </c>
      <c r="E22" s="206">
        <f>'Calculations - Table 1'!D21</f>
        <v>16905</v>
      </c>
      <c r="F22" s="206">
        <f>'Calculations - Table 1'!E21</f>
        <v>34155</v>
      </c>
      <c r="G22" s="206">
        <f>'Calculations - Table 1'!F21</f>
        <v>47955</v>
      </c>
      <c r="H22" s="206">
        <f>'Calculations - Table 1'!G21</f>
        <v>55200</v>
      </c>
      <c r="I22" s="206">
        <f>'Calculations - Table 1'!H21</f>
        <v>55200</v>
      </c>
      <c r="J22" s="198"/>
      <c r="K22" s="206">
        <f t="shared" ref="K22:K26" si="4">SUM(D22:I22)</f>
        <v>209415</v>
      </c>
      <c r="L22" s="199"/>
      <c r="M22" s="183"/>
      <c r="N22" s="183"/>
      <c r="O22" s="183"/>
      <c r="P22" s="183"/>
    </row>
    <row r="23" spans="1:16" ht="15.75" outlineLevel="1">
      <c r="A23" s="183"/>
      <c r="B23" s="98" t="s">
        <v>178</v>
      </c>
      <c r="C23" s="205" t="s">
        <v>179</v>
      </c>
      <c r="D23" s="206">
        <f>'Calculations - Table 1'!I22</f>
        <v>0</v>
      </c>
      <c r="E23" s="206">
        <f>'Calculations - Table 1'!D22</f>
        <v>5390</v>
      </c>
      <c r="F23" s="206">
        <f>'Calculations - Table 1'!E22</f>
        <v>10890</v>
      </c>
      <c r="G23" s="206">
        <f>'Calculations - Table 1'!F22</f>
        <v>15290</v>
      </c>
      <c r="H23" s="206">
        <f>'Calculations - Table 1'!G22</f>
        <v>17600</v>
      </c>
      <c r="I23" s="206">
        <f>'Calculations - Table 1'!H22</f>
        <v>17600</v>
      </c>
      <c r="J23" s="198"/>
      <c r="K23" s="206">
        <f t="shared" si="4"/>
        <v>66770</v>
      </c>
      <c r="L23" s="199"/>
      <c r="M23" s="183"/>
      <c r="N23" s="183"/>
      <c r="O23" s="183"/>
      <c r="P23" s="183"/>
    </row>
    <row r="24" spans="1:16" ht="15.75" outlineLevel="1">
      <c r="A24" s="183"/>
      <c r="B24" s="98" t="s">
        <v>180</v>
      </c>
      <c r="C24" s="205" t="s">
        <v>181</v>
      </c>
      <c r="D24" s="206">
        <f>'Calculations - Table 1'!I23+'Calculations - Table 1'!I24</f>
        <v>0</v>
      </c>
      <c r="E24" s="206">
        <f>'Calculations - Table 1'!D23+'Calculations - Table 1'!D24</f>
        <v>0</v>
      </c>
      <c r="F24" s="206">
        <f>'Calculations - Table 1'!E23+'Calculations - Table 1'!E24</f>
        <v>0</v>
      </c>
      <c r="G24" s="206">
        <f>'Calculations - Table 1'!F23+'Calculations - Table 1'!F24</f>
        <v>0</v>
      </c>
      <c r="H24" s="206">
        <f>'Calculations - Table 1'!G23+'Calculations - Table 1'!G24</f>
        <v>0</v>
      </c>
      <c r="I24" s="206">
        <f>'Calculations - Table 1'!H23+'Calculations - Table 1'!H24</f>
        <v>0</v>
      </c>
      <c r="J24" s="198"/>
      <c r="K24" s="206">
        <f t="shared" si="4"/>
        <v>0</v>
      </c>
      <c r="L24" s="199"/>
      <c r="M24" s="183"/>
      <c r="N24" s="183"/>
      <c r="O24" s="183"/>
      <c r="P24" s="183"/>
    </row>
    <row r="25" spans="1:16" ht="15.75" outlineLevel="1">
      <c r="A25" s="183"/>
      <c r="B25" s="98" t="s">
        <v>182</v>
      </c>
      <c r="C25" s="205" t="s">
        <v>183</v>
      </c>
      <c r="D25" s="206">
        <f>'Calculations - Table 1'!I25</f>
        <v>0</v>
      </c>
      <c r="E25" s="206">
        <f>'Calculations - Table 1'!D25</f>
        <v>2450</v>
      </c>
      <c r="F25" s="206">
        <f>'Calculations - Table 1'!E25</f>
        <v>4950</v>
      </c>
      <c r="G25" s="206">
        <f>'Calculations - Table 1'!F25</f>
        <v>6950</v>
      </c>
      <c r="H25" s="206">
        <f>'Calculations - Table 1'!G25</f>
        <v>8000</v>
      </c>
      <c r="I25" s="206">
        <f>'Calculations - Table 1'!H25</f>
        <v>8000</v>
      </c>
      <c r="J25" s="198"/>
      <c r="K25" s="206">
        <f t="shared" si="4"/>
        <v>30350</v>
      </c>
      <c r="L25" s="199"/>
      <c r="M25" s="183"/>
      <c r="N25" s="183"/>
      <c r="O25" s="183"/>
      <c r="P25" s="183"/>
    </row>
    <row r="26" spans="1:16" ht="15.75" outlineLevel="1">
      <c r="A26" s="183"/>
      <c r="B26" s="98" t="s">
        <v>184</v>
      </c>
      <c r="C26" s="209" t="s">
        <v>185</v>
      </c>
      <c r="D26" s="210">
        <f>'Calculations - Table 1'!I26</f>
        <v>0</v>
      </c>
      <c r="E26" s="210">
        <f>'Calculations - Table 1'!D26</f>
        <v>1470</v>
      </c>
      <c r="F26" s="210">
        <f>'Calculations - Table 1'!E26</f>
        <v>2970</v>
      </c>
      <c r="G26" s="210">
        <f>'Calculations - Table 1'!F26</f>
        <v>4170</v>
      </c>
      <c r="H26" s="210">
        <f>'Calculations - Table 1'!G26</f>
        <v>4800</v>
      </c>
      <c r="I26" s="210">
        <f>'Calculations - Table 1'!H26</f>
        <v>4800</v>
      </c>
      <c r="J26" s="198"/>
      <c r="K26" s="210">
        <f t="shared" si="4"/>
        <v>18210</v>
      </c>
      <c r="L26" s="199"/>
      <c r="M26" s="183"/>
      <c r="N26" s="183"/>
      <c r="O26" s="183"/>
      <c r="P26" s="183"/>
    </row>
    <row r="27" spans="1:16" ht="15.75">
      <c r="A27" s="183"/>
      <c r="B27" s="200"/>
      <c r="C27" s="201" t="s">
        <v>186</v>
      </c>
      <c r="D27" s="223">
        <f>SUM(D22:D26)</f>
        <v>0</v>
      </c>
      <c r="E27" s="223">
        <f t="shared" ref="E27:I27" si="5">SUM(E22:E26)</f>
        <v>26215</v>
      </c>
      <c r="F27" s="223">
        <f t="shared" si="5"/>
        <v>52965</v>
      </c>
      <c r="G27" s="223">
        <f t="shared" si="5"/>
        <v>74365</v>
      </c>
      <c r="H27" s="223">
        <f t="shared" si="5"/>
        <v>85600</v>
      </c>
      <c r="I27" s="223">
        <f t="shared" si="5"/>
        <v>85600</v>
      </c>
      <c r="J27" s="198"/>
      <c r="K27" s="223">
        <f>SUM(K22:K26)</f>
        <v>324745</v>
      </c>
      <c r="L27" s="199"/>
      <c r="M27" s="183"/>
      <c r="N27" s="183"/>
      <c r="O27" s="183"/>
      <c r="P27" s="183"/>
    </row>
    <row r="28" spans="1:16" ht="18" customHeight="1">
      <c r="A28" s="183"/>
      <c r="B28" s="183"/>
      <c r="C28" s="224"/>
      <c r="D28" s="225"/>
      <c r="E28" s="225"/>
      <c r="F28" s="225"/>
      <c r="G28" s="225"/>
      <c r="H28" s="225"/>
      <c r="I28" s="225"/>
      <c r="J28" s="198"/>
      <c r="K28" s="225"/>
      <c r="L28" s="199"/>
      <c r="M28" s="183"/>
      <c r="N28" s="183"/>
      <c r="O28" s="183"/>
      <c r="P28" s="183"/>
    </row>
    <row r="29" spans="1:16" ht="15.75" outlineLevel="1">
      <c r="A29" s="183"/>
      <c r="B29" s="200"/>
      <c r="C29" s="220" t="s">
        <v>187</v>
      </c>
      <c r="D29" s="221"/>
      <c r="E29" s="221"/>
      <c r="F29" s="221"/>
      <c r="G29" s="221"/>
      <c r="H29" s="221"/>
      <c r="I29" s="221"/>
      <c r="J29" s="198"/>
      <c r="K29" s="221"/>
      <c r="L29" s="199"/>
      <c r="M29" s="183"/>
      <c r="N29" s="183"/>
      <c r="O29" s="183"/>
      <c r="P29" s="183"/>
    </row>
    <row r="30" spans="1:16" ht="15" outlineLevel="1">
      <c r="A30" s="183"/>
      <c r="B30" s="98"/>
      <c r="C30" s="203"/>
      <c r="D30" s="204"/>
      <c r="E30" s="204"/>
      <c r="F30" s="204"/>
      <c r="G30" s="204"/>
      <c r="H30" s="204"/>
      <c r="I30" s="204"/>
      <c r="J30" s="198"/>
      <c r="K30" s="204"/>
      <c r="L30" s="199"/>
      <c r="M30" s="183"/>
      <c r="N30" s="183"/>
      <c r="O30" s="183"/>
      <c r="P30" s="183"/>
    </row>
    <row r="31" spans="1:16" ht="15.75" outlineLevel="1">
      <c r="A31" s="183"/>
      <c r="B31" s="98" t="s">
        <v>188</v>
      </c>
      <c r="C31" s="205" t="s">
        <v>189</v>
      </c>
      <c r="D31" s="206">
        <f>'Calculations - Table 1'!I27</f>
        <v>0</v>
      </c>
      <c r="E31" s="206">
        <f>'Calculations - Table 1'!D27</f>
        <v>0</v>
      </c>
      <c r="F31" s="206">
        <f>'Calculations - Table 1'!E27</f>
        <v>0</v>
      </c>
      <c r="G31" s="206">
        <f>'Calculations - Table 1'!F27</f>
        <v>0</v>
      </c>
      <c r="H31" s="206">
        <f>'Calculations - Table 1'!G27</f>
        <v>0</v>
      </c>
      <c r="I31" s="206">
        <f>'Calculations - Table 1'!H27</f>
        <v>0</v>
      </c>
      <c r="J31" s="198"/>
      <c r="K31" s="206">
        <f t="shared" ref="K31:K32" si="6">SUM(D31:I31)</f>
        <v>0</v>
      </c>
      <c r="L31" s="199"/>
      <c r="M31" s="183"/>
      <c r="N31" s="183"/>
      <c r="O31" s="183"/>
      <c r="P31" s="183"/>
    </row>
    <row r="32" spans="1:16" ht="31.5" outlineLevel="1">
      <c r="A32" s="183"/>
      <c r="B32" s="98" t="s">
        <v>190</v>
      </c>
      <c r="C32" s="226" t="s">
        <v>191</v>
      </c>
      <c r="D32" s="210">
        <f>'Calculations - Table 1'!I28</f>
        <v>0</v>
      </c>
      <c r="E32" s="210">
        <f>'Calculations - Table 1'!D28</f>
        <v>0</v>
      </c>
      <c r="F32" s="210">
        <f>'Calculations - Table 1'!E28</f>
        <v>0</v>
      </c>
      <c r="G32" s="210">
        <f>'Calculations - Table 1'!F28</f>
        <v>0</v>
      </c>
      <c r="H32" s="210">
        <f>'Calculations - Table 1'!G28</f>
        <v>0</v>
      </c>
      <c r="I32" s="210">
        <f>'Calculations - Table 1'!H28</f>
        <v>0</v>
      </c>
      <c r="J32" s="198"/>
      <c r="K32" s="210">
        <f t="shared" si="6"/>
        <v>0</v>
      </c>
      <c r="L32" s="199"/>
      <c r="M32" s="183"/>
      <c r="N32" s="183"/>
      <c r="O32" s="183"/>
      <c r="P32" s="183"/>
    </row>
    <row r="33" spans="1:256" ht="15.75">
      <c r="A33" s="183"/>
      <c r="B33" s="200"/>
      <c r="C33" s="220" t="s">
        <v>192</v>
      </c>
      <c r="D33" s="223">
        <f>SUM(D31:D32)</f>
        <v>0</v>
      </c>
      <c r="E33" s="223">
        <f t="shared" ref="E33:I33" si="7">SUM(E31:E32)</f>
        <v>0</v>
      </c>
      <c r="F33" s="223">
        <f t="shared" si="7"/>
        <v>0</v>
      </c>
      <c r="G33" s="223">
        <f t="shared" si="7"/>
        <v>0</v>
      </c>
      <c r="H33" s="223">
        <f t="shared" si="7"/>
        <v>0</v>
      </c>
      <c r="I33" s="223">
        <f t="shared" si="7"/>
        <v>0</v>
      </c>
      <c r="J33" s="198"/>
      <c r="K33" s="223">
        <f>SUM(K31:K32)</f>
        <v>0</v>
      </c>
      <c r="L33" s="199"/>
      <c r="M33" s="183"/>
      <c r="N33" s="183"/>
      <c r="O33" s="183"/>
      <c r="P33" s="183"/>
    </row>
    <row r="34" spans="1:256" ht="12.75" customHeight="1">
      <c r="A34" s="183"/>
      <c r="B34" s="183"/>
      <c r="C34" s="224"/>
      <c r="D34" s="225"/>
      <c r="E34" s="225"/>
      <c r="F34" s="225"/>
      <c r="G34" s="225"/>
      <c r="H34" s="225"/>
      <c r="I34" s="225"/>
      <c r="J34" s="198"/>
      <c r="K34" s="225"/>
      <c r="L34" s="199"/>
      <c r="M34" s="183"/>
      <c r="N34" s="183"/>
      <c r="O34" s="183"/>
      <c r="P34" s="183"/>
    </row>
    <row r="35" spans="1:256" ht="15.75" outlineLevel="1">
      <c r="A35" s="183"/>
      <c r="B35" s="200"/>
      <c r="C35" s="220" t="s">
        <v>193</v>
      </c>
      <c r="D35" s="221"/>
      <c r="E35" s="221"/>
      <c r="F35" s="221"/>
      <c r="G35" s="221"/>
      <c r="H35" s="221"/>
      <c r="I35" s="221"/>
      <c r="J35" s="198"/>
      <c r="K35" s="221"/>
      <c r="L35" s="199"/>
      <c r="M35" s="183"/>
      <c r="N35" s="183"/>
      <c r="O35" s="183"/>
      <c r="P35" s="183"/>
    </row>
    <row r="36" spans="1:256" ht="15" outlineLevel="1">
      <c r="A36" s="183"/>
      <c r="B36" s="183"/>
      <c r="C36" s="227"/>
      <c r="D36" s="204"/>
      <c r="E36" s="204"/>
      <c r="F36" s="204"/>
      <c r="G36" s="204"/>
      <c r="H36" s="204"/>
      <c r="I36" s="204"/>
      <c r="J36" s="198"/>
      <c r="K36" s="204"/>
      <c r="L36" s="199"/>
      <c r="M36" s="183"/>
      <c r="N36" s="183"/>
      <c r="O36" s="183"/>
      <c r="P36" s="183"/>
    </row>
    <row r="37" spans="1:256" ht="15.75" outlineLevel="1">
      <c r="A37" s="183"/>
      <c r="B37" s="98" t="s">
        <v>194</v>
      </c>
      <c r="C37" s="205" t="s">
        <v>195</v>
      </c>
      <c r="D37" s="206">
        <v>0</v>
      </c>
      <c r="E37" s="206">
        <f>'Calculations - Table 1'!D29</f>
        <v>84864</v>
      </c>
      <c r="F37" s="206">
        <f>'Calculations - Table 1'!E29</f>
        <v>84864</v>
      </c>
      <c r="G37" s="206">
        <f>'Calculations - Table 1'!F29</f>
        <v>171768</v>
      </c>
      <c r="H37" s="206">
        <f>'Calculations - Table 1'!G29</f>
        <v>241128</v>
      </c>
      <c r="I37" s="206">
        <f>'Calculations - Table 1'!H29</f>
        <v>277440</v>
      </c>
      <c r="J37" s="198"/>
      <c r="K37" s="206">
        <f t="shared" ref="K37:K40" si="8">SUM(D37:I37)</f>
        <v>860064</v>
      </c>
      <c r="L37" s="199"/>
      <c r="M37" s="183"/>
      <c r="N37" s="183"/>
      <c r="O37" s="183"/>
      <c r="P37" s="183"/>
    </row>
    <row r="38" spans="1:256" ht="15.75" outlineLevel="1">
      <c r="A38" s="183"/>
      <c r="B38" s="98" t="s">
        <v>196</v>
      </c>
      <c r="C38" s="205" t="s">
        <v>197</v>
      </c>
      <c r="D38" s="206">
        <v>0</v>
      </c>
      <c r="E38" s="206">
        <f>'Calculations - Table 1'!D30</f>
        <v>9310</v>
      </c>
      <c r="F38" s="206">
        <f>'Calculations - Table 1'!E30</f>
        <v>18810</v>
      </c>
      <c r="G38" s="206">
        <f>'Calculations - Table 1'!F30</f>
        <v>26410</v>
      </c>
      <c r="H38" s="206">
        <f>'Calculations - Table 1'!G30</f>
        <v>30400</v>
      </c>
      <c r="I38" s="206">
        <f>'Calculations - Table 1'!H30</f>
        <v>30400</v>
      </c>
      <c r="J38" s="198"/>
      <c r="K38" s="206">
        <f t="shared" si="8"/>
        <v>115330</v>
      </c>
      <c r="L38" s="199"/>
      <c r="M38" s="183"/>
      <c r="N38" s="183"/>
      <c r="O38" s="183"/>
      <c r="P38" s="183"/>
    </row>
    <row r="39" spans="1:256" ht="15.75" outlineLevel="1">
      <c r="A39" s="183"/>
      <c r="B39" s="98" t="s">
        <v>198</v>
      </c>
      <c r="C39" s="205" t="s">
        <v>199</v>
      </c>
      <c r="D39" s="206">
        <v>0</v>
      </c>
      <c r="E39" s="206">
        <v>0</v>
      </c>
      <c r="F39" s="206">
        <v>0</v>
      </c>
      <c r="G39" s="206">
        <v>0</v>
      </c>
      <c r="H39" s="206">
        <v>0</v>
      </c>
      <c r="I39" s="206">
        <v>0</v>
      </c>
      <c r="J39" s="198"/>
      <c r="K39" s="206">
        <f t="shared" si="8"/>
        <v>0</v>
      </c>
      <c r="L39" s="199"/>
      <c r="M39" s="183"/>
      <c r="N39" s="183"/>
      <c r="O39" s="183"/>
      <c r="P39" s="183"/>
    </row>
    <row r="40" spans="1:256" ht="15.75" outlineLevel="1">
      <c r="A40" s="183"/>
      <c r="B40" s="98" t="s">
        <v>200</v>
      </c>
      <c r="C40" s="209" t="s">
        <v>201</v>
      </c>
      <c r="D40" s="210">
        <v>0</v>
      </c>
      <c r="E40" s="210">
        <v>0</v>
      </c>
      <c r="F40" s="210">
        <v>0</v>
      </c>
      <c r="G40" s="210">
        <v>0</v>
      </c>
      <c r="H40" s="210">
        <v>0</v>
      </c>
      <c r="I40" s="210">
        <v>0</v>
      </c>
      <c r="J40" s="198"/>
      <c r="K40" s="210">
        <f t="shared" si="8"/>
        <v>0</v>
      </c>
      <c r="L40" s="199"/>
      <c r="M40" s="183"/>
      <c r="N40" s="183"/>
      <c r="O40" s="183"/>
      <c r="P40" s="183"/>
    </row>
    <row r="41" spans="1:256" ht="15.75">
      <c r="A41" s="183"/>
      <c r="B41" s="200"/>
      <c r="C41" s="220" t="s">
        <v>193</v>
      </c>
      <c r="D41" s="223">
        <f>SUM(D37:D40)</f>
        <v>0</v>
      </c>
      <c r="E41" s="223">
        <f>SUM(E37:E40)</f>
        <v>94174</v>
      </c>
      <c r="F41" s="223">
        <f t="shared" ref="F41:I41" si="9">SUM(F37:F40)</f>
        <v>103674</v>
      </c>
      <c r="G41" s="223">
        <f t="shared" si="9"/>
        <v>198178</v>
      </c>
      <c r="H41" s="223">
        <f t="shared" si="9"/>
        <v>271528</v>
      </c>
      <c r="I41" s="223">
        <f t="shared" si="9"/>
        <v>307840</v>
      </c>
      <c r="J41" s="198"/>
      <c r="K41" s="223">
        <f>SUM(K37:K40)</f>
        <v>975394</v>
      </c>
      <c r="L41" s="199"/>
      <c r="M41" s="183"/>
      <c r="N41" s="183"/>
      <c r="O41" s="183"/>
      <c r="P41" s="183"/>
    </row>
    <row r="42" spans="1:256" ht="15">
      <c r="A42" s="183"/>
      <c r="B42" s="183"/>
      <c r="C42" s="224"/>
      <c r="D42" s="225"/>
      <c r="E42" s="225"/>
      <c r="F42" s="225"/>
      <c r="G42" s="225"/>
      <c r="H42" s="225"/>
      <c r="I42" s="225"/>
      <c r="J42" s="198"/>
      <c r="K42" s="225"/>
      <c r="L42" s="199"/>
      <c r="M42" s="183"/>
      <c r="N42" s="183"/>
      <c r="O42" s="183"/>
      <c r="P42" s="183"/>
    </row>
    <row r="43" spans="1:256" ht="15.75" outlineLevel="1">
      <c r="A43" s="183"/>
      <c r="B43" s="200"/>
      <c r="C43" s="220" t="s">
        <v>202</v>
      </c>
      <c r="D43" s="221"/>
      <c r="E43" s="221"/>
      <c r="F43" s="221"/>
      <c r="G43" s="221"/>
      <c r="H43" s="221"/>
      <c r="I43" s="221"/>
      <c r="J43" s="198"/>
      <c r="K43" s="221"/>
      <c r="L43" s="199"/>
      <c r="M43" s="183"/>
      <c r="N43" s="183"/>
      <c r="O43" s="183"/>
      <c r="P43" s="183"/>
    </row>
    <row r="44" spans="1:256" ht="15.75" outlineLevel="1">
      <c r="A44" s="183"/>
      <c r="B44" s="183" t="s">
        <v>203</v>
      </c>
      <c r="C44" s="228" t="s">
        <v>204</v>
      </c>
      <c r="D44" s="229">
        <f>Assumptions!D6</f>
        <v>298412</v>
      </c>
      <c r="E44" s="229">
        <f>Assumptions!E6</f>
        <v>155266</v>
      </c>
      <c r="F44" s="229">
        <f>Assumptions!F6</f>
        <v>188852</v>
      </c>
      <c r="G44" s="229">
        <f>Assumptions!G6</f>
        <v>7470</v>
      </c>
      <c r="H44" s="229">
        <f>Assumptions!H6</f>
        <v>0</v>
      </c>
      <c r="I44" s="229">
        <f>Assumptions!I6</f>
        <v>0</v>
      </c>
      <c r="J44" s="198"/>
      <c r="K44" s="230">
        <f>SUM(D44:I44)</f>
        <v>650000</v>
      </c>
      <c r="L44" s="199"/>
      <c r="M44" s="183"/>
      <c r="N44" s="183"/>
      <c r="O44" s="183"/>
      <c r="P44" s="183"/>
    </row>
    <row r="45" spans="1:256" ht="15.75" outlineLevel="1">
      <c r="A45" s="183"/>
      <c r="B45" s="231"/>
      <c r="C45" s="619" t="s">
        <v>205</v>
      </c>
      <c r="D45" s="620">
        <f>Assumptions!$D$10</f>
        <v>10000</v>
      </c>
      <c r="E45" s="620">
        <f>Assumptions!$E$10</f>
        <v>310278</v>
      </c>
      <c r="F45" s="620">
        <f>Assumptions!$F$10</f>
        <v>65666</v>
      </c>
      <c r="G45" s="620">
        <f>Assumptions!$G$10</f>
        <v>0</v>
      </c>
      <c r="H45" s="620"/>
      <c r="I45" s="620"/>
      <c r="J45" s="198"/>
      <c r="K45" s="210"/>
      <c r="L45" s="199"/>
      <c r="M45" s="183"/>
      <c r="N45" s="183"/>
      <c r="O45" s="183"/>
      <c r="P45" s="183"/>
    </row>
    <row r="46" spans="1:256" s="554" customFormat="1" ht="15.75" outlineLevel="1">
      <c r="A46" s="183"/>
      <c r="B46" s="231"/>
      <c r="C46" s="619" t="s">
        <v>1834</v>
      </c>
      <c r="D46" s="621"/>
      <c r="E46" s="621">
        <v>789220.38382639992</v>
      </c>
      <c r="F46" s="621">
        <v>850151.04199280008</v>
      </c>
      <c r="G46" s="621">
        <v>911081.7001592</v>
      </c>
      <c r="H46" s="621">
        <v>936007.87849999988</v>
      </c>
      <c r="I46" s="621">
        <v>936007.87849999988</v>
      </c>
      <c r="J46" s="198"/>
      <c r="K46" s="559"/>
      <c r="L46" s="199"/>
      <c r="M46" s="183"/>
      <c r="N46" s="183"/>
      <c r="O46" s="183"/>
      <c r="P46" s="183"/>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ht="16.5" thickBot="1">
      <c r="A47" s="183"/>
      <c r="B47" s="200" t="s">
        <v>206</v>
      </c>
      <c r="C47" s="220" t="s">
        <v>207</v>
      </c>
      <c r="D47" s="232">
        <f>SUM(D44:D46)</f>
        <v>308412</v>
      </c>
      <c r="E47" s="232">
        <f t="shared" ref="E47:I47" si="10">SUM(E44:E46)</f>
        <v>1254764.3838263999</v>
      </c>
      <c r="F47" s="232">
        <f t="shared" si="10"/>
        <v>1104669.0419928001</v>
      </c>
      <c r="G47" s="232">
        <f t="shared" si="10"/>
        <v>918551.7001592</v>
      </c>
      <c r="H47" s="232">
        <f t="shared" si="10"/>
        <v>936007.87849999988</v>
      </c>
      <c r="I47" s="232">
        <f t="shared" si="10"/>
        <v>936007.87849999988</v>
      </c>
      <c r="J47" s="198"/>
      <c r="K47" s="232">
        <f>SUM(K44)</f>
        <v>650000</v>
      </c>
      <c r="L47" s="199"/>
      <c r="M47" s="183"/>
      <c r="N47" s="183"/>
      <c r="O47" s="183"/>
      <c r="P47" s="183"/>
    </row>
    <row r="48" spans="1:256" ht="15.75" thickBot="1">
      <c r="A48" s="183"/>
      <c r="B48" s="183"/>
      <c r="C48" s="233"/>
      <c r="D48" s="192"/>
      <c r="E48" s="234"/>
      <c r="F48" s="192"/>
      <c r="G48" s="192"/>
      <c r="H48" s="192"/>
      <c r="I48" s="192"/>
      <c r="J48" s="183"/>
      <c r="K48" s="192"/>
      <c r="L48" s="183"/>
      <c r="M48" s="183"/>
      <c r="N48" s="183"/>
      <c r="O48" s="183"/>
      <c r="P48" s="183"/>
    </row>
    <row r="49" spans="1:16" ht="18">
      <c r="A49" s="211"/>
      <c r="B49" s="212" t="s">
        <v>206</v>
      </c>
      <c r="C49" s="235" t="s">
        <v>208</v>
      </c>
      <c r="D49" s="236">
        <f t="shared" ref="D49:I49" si="11">D18+D27+D33+D41+D47</f>
        <v>308412</v>
      </c>
      <c r="E49" s="236">
        <f t="shared" si="11"/>
        <v>2450592.3838264002</v>
      </c>
      <c r="F49" s="236">
        <f t="shared" si="11"/>
        <v>3417829.9019928006</v>
      </c>
      <c r="G49" s="236">
        <f t="shared" si="11"/>
        <v>4212348.0687592002</v>
      </c>
      <c r="H49" s="236">
        <f t="shared" si="11"/>
        <v>4768381.4207859999</v>
      </c>
      <c r="I49" s="236">
        <f t="shared" si="11"/>
        <v>4804863.2762088599</v>
      </c>
      <c r="J49" s="215"/>
      <c r="K49" s="236">
        <f>K18+K27+K33+K41+K47</f>
        <v>15285997.647154931</v>
      </c>
      <c r="L49" s="216"/>
      <c r="M49" s="211"/>
      <c r="N49" s="211"/>
      <c r="O49" s="211"/>
      <c r="P49" s="211"/>
    </row>
  </sheetData>
  <sheetProtection password="C112" sheet="1" objects="1" scenarios="1"/>
  <pageMargins left="0.20000004800000001" right="0.20000004800000001" top="0.25" bottom="0.55000000000000004" header="0.30000001192092901" footer="0.30000001192092901"/>
  <pageSetup scale="7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IV89"/>
  <sheetViews>
    <sheetView showGridLines="0" topLeftCell="C1" zoomScale="80" zoomScaleNormal="80" workbookViewId="0">
      <selection activeCell="C1" sqref="A1:XFD1048576"/>
    </sheetView>
  </sheetViews>
  <sheetFormatPr defaultColWidth="11" defaultRowHeight="20.100000000000001" customHeight="1"/>
  <cols>
    <col min="1" max="1" width="10.75" style="5" hidden="1" customWidth="1"/>
    <col min="2" max="2" width="1.5" style="5" hidden="1" customWidth="1"/>
    <col min="3" max="3" width="35.5" style="5" customWidth="1"/>
    <col min="4" max="4" width="12.5" style="5" hidden="1" customWidth="1"/>
    <col min="5" max="5" width="12.875" style="5" hidden="1" customWidth="1"/>
    <col min="6" max="6" width="11.75" style="5" hidden="1" customWidth="1"/>
    <col min="7" max="7" width="15.875" style="5" hidden="1" customWidth="1"/>
    <col min="8" max="8" width="9.125" style="5" hidden="1" customWidth="1"/>
    <col min="9" max="13" width="10" style="5" hidden="1" customWidth="1"/>
    <col min="14" max="14" width="3.75" style="5" customWidth="1"/>
    <col min="15" max="15" width="11.125" style="5" hidden="1" customWidth="1"/>
    <col min="16" max="16" width="10.5" style="5" hidden="1" customWidth="1"/>
    <col min="17" max="17" width="1.25" style="5" customWidth="1"/>
    <col min="18" max="19" width="12.75" style="5" customWidth="1"/>
    <col min="20" max="20" width="1.25" style="5" customWidth="1"/>
    <col min="21" max="22" width="12.75" style="5" customWidth="1"/>
    <col min="23" max="23" width="1.25" style="5" customWidth="1"/>
    <col min="24" max="25" width="12.75" style="5" customWidth="1"/>
    <col min="26" max="26" width="1.25" style="5" customWidth="1"/>
    <col min="27" max="28" width="12.75" style="5" customWidth="1"/>
    <col min="29" max="29" width="1.25" style="5" customWidth="1"/>
    <col min="30" max="31" width="12.75" style="5" customWidth="1"/>
    <col min="32" max="256" width="10.25" style="5" customWidth="1"/>
  </cols>
  <sheetData>
    <row r="1" spans="1:31" ht="14.25">
      <c r="A1" s="70"/>
      <c r="B1" s="10"/>
      <c r="C1" s="77"/>
      <c r="D1" s="77"/>
      <c r="E1" s="77"/>
      <c r="F1" s="77"/>
      <c r="G1" s="104"/>
      <c r="H1" s="104"/>
      <c r="I1" s="104"/>
      <c r="J1" s="104"/>
      <c r="K1" s="104"/>
      <c r="L1" s="104"/>
      <c r="M1" s="104"/>
      <c r="N1" s="77"/>
      <c r="O1" s="237"/>
      <c r="P1" s="238"/>
      <c r="Q1" s="77"/>
      <c r="R1" s="237"/>
      <c r="S1" s="238"/>
      <c r="T1" s="77"/>
      <c r="U1" s="237"/>
      <c r="V1" s="238"/>
      <c r="W1" s="77"/>
      <c r="X1" s="237"/>
      <c r="Y1" s="238"/>
      <c r="Z1" s="77"/>
      <c r="AA1" s="237"/>
      <c r="AB1" s="238"/>
      <c r="AC1" s="77"/>
      <c r="AD1" s="237"/>
      <c r="AE1" s="238"/>
    </row>
    <row r="2" spans="1:31" ht="18">
      <c r="A2" s="70"/>
      <c r="B2" s="99"/>
      <c r="C2" s="185" t="str">
        <f>Assumptions!$C$2&amp;" - SALARY BUDGET"</f>
        <v>DCIS 6-12 - SALARY BUDGET</v>
      </c>
      <c r="D2" s="90"/>
      <c r="E2" s="186"/>
      <c r="F2" s="90"/>
      <c r="G2" s="186"/>
      <c r="H2" s="186"/>
      <c r="I2" s="186"/>
      <c r="J2" s="186"/>
      <c r="K2" s="186"/>
      <c r="L2" s="186"/>
      <c r="M2" s="186"/>
      <c r="N2" s="186"/>
      <c r="O2" s="186"/>
      <c r="P2" s="239"/>
      <c r="Q2" s="240"/>
      <c r="R2" s="241"/>
      <c r="S2" s="239"/>
      <c r="T2" s="90"/>
      <c r="U2" s="241"/>
      <c r="V2" s="239"/>
      <c r="W2" s="90"/>
      <c r="X2" s="241"/>
      <c r="Y2" s="239"/>
      <c r="Z2" s="90"/>
      <c r="AA2" s="241"/>
      <c r="AB2" s="239"/>
      <c r="AC2" s="90"/>
      <c r="AD2" s="241"/>
      <c r="AE2" s="242"/>
    </row>
    <row r="3" spans="1:31" ht="14.25">
      <c r="A3" s="70"/>
      <c r="B3" s="10"/>
      <c r="C3" s="90"/>
      <c r="D3" s="90"/>
      <c r="E3" s="90"/>
      <c r="F3" s="90"/>
      <c r="G3" s="186"/>
      <c r="H3" s="107"/>
      <c r="I3" s="107"/>
      <c r="J3" s="107"/>
      <c r="K3" s="107"/>
      <c r="L3" s="107"/>
      <c r="M3" s="107"/>
      <c r="N3" s="92"/>
      <c r="O3" s="243"/>
      <c r="P3" s="244"/>
      <c r="Q3" s="92"/>
      <c r="R3" s="243"/>
      <c r="S3" s="244"/>
      <c r="T3" s="92"/>
      <c r="U3" s="243"/>
      <c r="V3" s="244"/>
      <c r="W3" s="92"/>
      <c r="X3" s="243"/>
      <c r="Y3" s="244"/>
      <c r="Z3" s="92"/>
      <c r="AA3" s="243"/>
      <c r="AB3" s="244"/>
      <c r="AC3" s="92"/>
      <c r="AD3" s="243"/>
      <c r="AE3" s="244"/>
    </row>
    <row r="4" spans="1:31" ht="21.75" hidden="1" customHeight="1">
      <c r="A4" s="70"/>
      <c r="B4" s="99"/>
      <c r="C4" s="636" t="s">
        <v>211</v>
      </c>
      <c r="D4" s="637"/>
      <c r="E4" s="637"/>
      <c r="F4" s="637"/>
      <c r="G4" s="638"/>
      <c r="H4" s="245"/>
      <c r="I4" s="98"/>
      <c r="J4" s="98"/>
      <c r="K4" s="98"/>
      <c r="L4" s="98"/>
      <c r="M4" s="98"/>
      <c r="N4" s="10"/>
      <c r="O4" s="246"/>
      <c r="P4" s="64"/>
      <c r="Q4" s="10"/>
      <c r="R4" s="246"/>
      <c r="S4" s="64"/>
      <c r="T4" s="10"/>
      <c r="U4" s="246"/>
      <c r="V4" s="64"/>
      <c r="W4" s="10"/>
      <c r="X4" s="246"/>
      <c r="Y4" s="64"/>
      <c r="Z4" s="10"/>
      <c r="AA4" s="246"/>
      <c r="AB4" s="64"/>
      <c r="AC4" s="10"/>
      <c r="AD4" s="246"/>
      <c r="AE4" s="64"/>
    </row>
    <row r="5" spans="1:31" ht="14.25" hidden="1">
      <c r="A5" s="70"/>
      <c r="B5" s="247"/>
      <c r="C5" s="7" t="s">
        <v>212</v>
      </c>
      <c r="D5" s="9"/>
      <c r="E5" s="12"/>
      <c r="F5" s="12"/>
      <c r="G5" s="248"/>
      <c r="H5" s="11"/>
      <c r="I5" s="10"/>
      <c r="J5" s="10"/>
      <c r="K5" s="10"/>
      <c r="L5" s="10"/>
      <c r="M5" s="10"/>
      <c r="N5" s="249"/>
      <c r="O5" s="248">
        <v>0</v>
      </c>
      <c r="P5" s="250"/>
      <c r="Q5" s="247"/>
      <c r="R5" s="248">
        <f>'Calculations - Table 1'!D112/5</f>
        <v>0.4</v>
      </c>
      <c r="S5" s="250"/>
      <c r="T5" s="247"/>
      <c r="U5" s="248">
        <f>'Calculations - Table 1'!E112/5</f>
        <v>0.4</v>
      </c>
      <c r="V5" s="250"/>
      <c r="W5" s="247"/>
      <c r="X5" s="248">
        <f>'Calculations - Table 1'!F112/5</f>
        <v>0.6</v>
      </c>
      <c r="Y5" s="250"/>
      <c r="Z5" s="247"/>
      <c r="AA5" s="248">
        <f>'Calculations - Table 1'!G112/5</f>
        <v>0.8</v>
      </c>
      <c r="AB5" s="250"/>
      <c r="AC5" s="247"/>
      <c r="AD5" s="248">
        <f>'Calculations - Table 1'!H112/5</f>
        <v>0.8</v>
      </c>
      <c r="AE5" s="250"/>
    </row>
    <row r="6" spans="1:31" ht="14.25" hidden="1">
      <c r="A6" s="70"/>
      <c r="B6" s="247"/>
      <c r="C6" s="7" t="s">
        <v>213</v>
      </c>
      <c r="D6" s="9"/>
      <c r="E6" s="12"/>
      <c r="F6" s="12"/>
      <c r="G6" s="248"/>
      <c r="H6" s="11"/>
      <c r="I6" s="10"/>
      <c r="J6" s="10"/>
      <c r="K6" s="10"/>
      <c r="L6" s="10"/>
      <c r="M6" s="10"/>
      <c r="N6" s="249"/>
      <c r="O6" s="248">
        <v>0</v>
      </c>
      <c r="P6" s="250"/>
      <c r="Q6" s="247"/>
      <c r="R6" s="248">
        <f>'Calculations - Table 1'!D113/5</f>
        <v>1</v>
      </c>
      <c r="S6" s="250"/>
      <c r="T6" s="247"/>
      <c r="U6" s="248">
        <f>'Calculations - Table 1'!E113/5</f>
        <v>1</v>
      </c>
      <c r="V6" s="250"/>
      <c r="W6" s="247"/>
      <c r="X6" s="248">
        <f>'Calculations - Table 1'!F113/5</f>
        <v>1</v>
      </c>
      <c r="Y6" s="250"/>
      <c r="Z6" s="247"/>
      <c r="AA6" s="248">
        <f>'Calculations - Table 1'!G113/5</f>
        <v>1</v>
      </c>
      <c r="AB6" s="250"/>
      <c r="AC6" s="247"/>
      <c r="AD6" s="248">
        <f>'Calculations - Table 1'!H113/5</f>
        <v>1</v>
      </c>
      <c r="AE6" s="250"/>
    </row>
    <row r="7" spans="1:31" ht="14.25" hidden="1">
      <c r="A7" s="70"/>
      <c r="B7" s="247"/>
      <c r="C7" s="7" t="s">
        <v>214</v>
      </c>
      <c r="D7" s="9"/>
      <c r="E7" s="12"/>
      <c r="F7" s="12"/>
      <c r="G7" s="248"/>
      <c r="H7" s="11"/>
      <c r="I7" s="10"/>
      <c r="J7" s="10"/>
      <c r="K7" s="10"/>
      <c r="L7" s="10"/>
      <c r="M7" s="10"/>
      <c r="N7" s="249"/>
      <c r="O7" s="248">
        <v>0</v>
      </c>
      <c r="P7" s="250"/>
      <c r="Q7" s="247"/>
      <c r="R7" s="248">
        <f>'Calculations - Table 1'!D65</f>
        <v>1</v>
      </c>
      <c r="S7" s="250"/>
      <c r="T7" s="247"/>
      <c r="U7" s="248">
        <f>'Calculations - Table 1'!E65</f>
        <v>2</v>
      </c>
      <c r="V7" s="250"/>
      <c r="W7" s="247"/>
      <c r="X7" s="248">
        <f>'Calculations - Table 1'!F65</f>
        <v>3</v>
      </c>
      <c r="Y7" s="250"/>
      <c r="Z7" s="247"/>
      <c r="AA7" s="248">
        <f>'Calculations - Table 1'!G65</f>
        <v>4</v>
      </c>
      <c r="AB7" s="250"/>
      <c r="AC7" s="247"/>
      <c r="AD7" s="248">
        <f>'Calculations - Table 1'!H65</f>
        <v>4</v>
      </c>
      <c r="AE7" s="250"/>
    </row>
    <row r="8" spans="1:31" ht="14.25" hidden="1">
      <c r="A8" s="70"/>
      <c r="B8" s="247"/>
      <c r="C8" s="7" t="s">
        <v>215</v>
      </c>
      <c r="D8" s="9"/>
      <c r="E8" s="12"/>
      <c r="F8" s="12"/>
      <c r="G8" s="248"/>
      <c r="H8" s="11"/>
      <c r="I8" s="10"/>
      <c r="J8" s="10"/>
      <c r="K8" s="10"/>
      <c r="L8" s="10"/>
      <c r="M8" s="10"/>
      <c r="N8" s="249"/>
      <c r="O8" s="248">
        <v>0</v>
      </c>
      <c r="P8" s="250"/>
      <c r="Q8" s="247"/>
      <c r="R8" s="248">
        <f>R9+R10</f>
        <v>0</v>
      </c>
      <c r="S8" s="250"/>
      <c r="T8" s="247"/>
      <c r="U8" s="248">
        <f>U9+U10</f>
        <v>0</v>
      </c>
      <c r="V8" s="250"/>
      <c r="W8" s="247"/>
      <c r="X8" s="248">
        <f>X9+X10</f>
        <v>0</v>
      </c>
      <c r="Y8" s="250"/>
      <c r="Z8" s="247"/>
      <c r="AA8" s="248">
        <f>AA9+AA10</f>
        <v>0</v>
      </c>
      <c r="AB8" s="250"/>
      <c r="AC8" s="247"/>
      <c r="AD8" s="248">
        <f>AD9+AD10</f>
        <v>0</v>
      </c>
      <c r="AE8" s="250"/>
    </row>
    <row r="9" spans="1:31" ht="22.5" hidden="1" customHeight="1">
      <c r="A9" s="70"/>
      <c r="B9" s="99"/>
      <c r="C9" s="251" t="s">
        <v>216</v>
      </c>
      <c r="D9" s="9"/>
      <c r="E9" s="12"/>
      <c r="F9" s="12"/>
      <c r="G9" s="252"/>
      <c r="H9" s="28"/>
      <c r="I9" s="10"/>
      <c r="J9" s="10"/>
      <c r="K9" s="10"/>
      <c r="L9" s="10"/>
      <c r="M9" s="10"/>
      <c r="N9" s="249"/>
      <c r="O9" s="248">
        <v>0</v>
      </c>
      <c r="P9" s="250"/>
      <c r="Q9" s="247"/>
      <c r="R9" s="248">
        <f>IF(OR(Assumptions!$C$3="ES",Assumptions!$C$3="K8"),(IF(Assumptions!E20&lt;=200,0.5,IF(AND(Assumptions!E20&lt;=400,Assumptions!E20&gt;200),0.5,IF(AND(Assumptions!E20&lt;=549,Assumptions!E20&gt;400),1,IF(AND(Assumptions!E20&lt;=600,Assumptions!E20&gt;549),1.5,IF(AND(Assumptions!E20&lt;=1000,Assumptions!E20&gt;600),1.5,1.5)))))),0)</f>
        <v>0</v>
      </c>
      <c r="S9" s="250"/>
      <c r="T9" s="247"/>
      <c r="U9" s="248">
        <f>IF(OR(Assumptions!$C$3="ES",Assumptions!$C$3="K8"),(IF(Assumptions!F20&lt;=200,0.5,IF(AND(Assumptions!F20&lt;=400,Assumptions!F20&gt;200),0.5,IF(AND(Assumptions!F20&lt;=549,Assumptions!F20&gt;400),1,IF(AND(Assumptions!F20&lt;=600,Assumptions!F20&gt;549),1.5,IF(AND(Assumptions!F20&lt;=1000,Assumptions!F20&gt;600),1.5,1.5)))))),0)</f>
        <v>0</v>
      </c>
      <c r="V9" s="250"/>
      <c r="W9" s="247"/>
      <c r="X9" s="248">
        <f>IF(OR(Assumptions!$C$3="ES",Assumptions!$C$3="K8"),(IF(Assumptions!G20&lt;=200,0.5,IF(AND(Assumptions!G20&lt;=400,Assumptions!G20&gt;200),0.5,IF(AND(Assumptions!G20&lt;=549,Assumptions!G20&gt;400),1,IF(AND(Assumptions!G20&lt;=600,Assumptions!G20&gt;549),1.5,IF(AND(Assumptions!G20&lt;=1000,Assumptions!G20&gt;600),1.5,1.5)))))),0)</f>
        <v>0</v>
      </c>
      <c r="Y9" s="250"/>
      <c r="Z9" s="247"/>
      <c r="AA9" s="248">
        <f>IF(OR(Assumptions!$C$3="ES",Assumptions!$C$3="K8"),(IF(Assumptions!H20&lt;=200,0.5,IF(AND(Assumptions!H20&lt;=400,Assumptions!H20&gt;200),0.5,IF(AND(Assumptions!H20&lt;=549,Assumptions!H20&gt;400),1,IF(AND(Assumptions!H20&lt;=600,Assumptions!H20&gt;549),1.5,IF(AND(Assumptions!H20&lt;=1000,Assumptions!H20&gt;600),1.5,1.5)))))),0)</f>
        <v>0</v>
      </c>
      <c r="AB9" s="250"/>
      <c r="AC9" s="247"/>
      <c r="AD9" s="248">
        <f>IF(OR(Assumptions!$C$3="ES",Assumptions!$C$3="K8"),(IF(Assumptions!I20&lt;=200,0.5,IF(AND(Assumptions!I20&lt;=400,Assumptions!I20&gt;200),0.5,IF(AND(Assumptions!I20&lt;=549,Assumptions!I20&gt;400),1,IF(AND(Assumptions!I20&lt;=600,Assumptions!I20&gt;549),1.5,IF(AND(Assumptions!I20&lt;=1000,Assumptions!I20&gt;600),1.5,1.5)))))),0)</f>
        <v>0</v>
      </c>
      <c r="AE9" s="250"/>
    </row>
    <row r="10" spans="1:31" ht="15.75" hidden="1" customHeight="1">
      <c r="A10" s="70"/>
      <c r="B10" s="99"/>
      <c r="C10" s="253" t="s">
        <v>217</v>
      </c>
      <c r="D10" s="254"/>
      <c r="E10" s="46"/>
      <c r="F10" s="46"/>
      <c r="G10" s="255"/>
      <c r="H10" s="28"/>
      <c r="I10" s="10"/>
      <c r="J10" s="10"/>
      <c r="K10" s="10"/>
      <c r="L10" s="10"/>
      <c r="M10" s="10"/>
      <c r="N10" s="249"/>
      <c r="O10" s="248">
        <v>0</v>
      </c>
      <c r="P10" s="250"/>
      <c r="Q10" s="247"/>
      <c r="R10" s="248">
        <f>IF(OR(Assumptions!$C$3="ES",Assumptions!$C$3="K8"),(IF(Assumptions!E20&lt;=200,1,IF(AND(Assumptions!E20&lt;=400,Assumptions!E20&gt;200),1.5,IF(AND(Assumptions!E20&lt;=549,Assumptions!E20&gt;400),2,IF(AND(Assumptions!E20&lt;=600,Assumptions!E20&gt;549),2.5,IF(AND(Assumptions!E20&lt;=1000,Assumptions!E20&gt;600),3.5,3)))))),0)</f>
        <v>0</v>
      </c>
      <c r="S10" s="250"/>
      <c r="T10" s="247"/>
      <c r="U10" s="248">
        <f>IF(OR(Assumptions!$C$3="ES",Assumptions!$C$3="K8"),(IF(Assumptions!F20&lt;=200,1,IF(AND(Assumptions!F20&lt;=400,Assumptions!F20&gt;200),1.5,IF(AND(Assumptions!F20&lt;=549,Assumptions!F20&gt;400),2,IF(AND(Assumptions!F20&lt;=600,Assumptions!F20&gt;549),2.5,IF(AND(Assumptions!F20&lt;=1000,Assumptions!F20&gt;600),3.5,3)))))),0)</f>
        <v>0</v>
      </c>
      <c r="V10" s="250"/>
      <c r="W10" s="247"/>
      <c r="X10" s="248">
        <f>IF(OR(Assumptions!$C$3="ES",Assumptions!$C$3="K8"),(IF(Assumptions!G20&lt;=200,1,IF(AND(Assumptions!G20&lt;=400,Assumptions!G20&gt;200),1.5,IF(AND(Assumptions!G20&lt;=549,Assumptions!G20&gt;400),2,IF(AND(Assumptions!G20&lt;=600,Assumptions!G20&gt;549),2.5,IF(AND(Assumptions!G20&lt;=1000,Assumptions!G20&gt;600),3.5,3)))))),0)</f>
        <v>0</v>
      </c>
      <c r="Y10" s="250"/>
      <c r="Z10" s="247"/>
      <c r="AA10" s="248">
        <f>IF(OR(Assumptions!$C$3="ES",Assumptions!$C$3="K8"),(IF(Assumptions!H20&lt;=200,1,IF(AND(Assumptions!H20&lt;=400,Assumptions!H20&gt;200),1.5,IF(AND(Assumptions!H20&lt;=549,Assumptions!H20&gt;400),2,IF(AND(Assumptions!H20&lt;=600,Assumptions!H20&gt;549),2.5,IF(AND(Assumptions!H20&lt;=1000,Assumptions!H20&gt;600),3.5,3)))))),0)</f>
        <v>0</v>
      </c>
      <c r="AB10" s="250"/>
      <c r="AC10" s="247"/>
      <c r="AD10" s="248">
        <f>IF(OR(Assumptions!$C$3="ES",Assumptions!$C$3="K8"),(IF(Assumptions!I20&lt;=200,1,IF(AND(Assumptions!I20&lt;=400,Assumptions!I20&gt;200),1.5,IF(AND(Assumptions!I20&lt;=549,Assumptions!I20&gt;400),2,IF(AND(Assumptions!I20&lt;=600,Assumptions!I20&gt;549),2.5,IF(AND(Assumptions!I20&lt;=1000,Assumptions!I20&gt;600),3.5,3)))))),0)</f>
        <v>0</v>
      </c>
      <c r="AE10" s="250"/>
    </row>
    <row r="11" spans="1:31" ht="14.25">
      <c r="A11" s="256"/>
      <c r="B11" s="10"/>
      <c r="C11" s="60"/>
      <c r="D11" s="60"/>
      <c r="E11" s="60"/>
      <c r="F11" s="60"/>
      <c r="G11" s="257"/>
      <c r="H11" s="258"/>
      <c r="I11" s="258"/>
      <c r="J11" s="258"/>
      <c r="K11" s="258"/>
      <c r="L11" s="258"/>
      <c r="M11" s="258"/>
      <c r="N11" s="10"/>
      <c r="O11" s="259"/>
      <c r="P11" s="260"/>
      <c r="Q11" s="10"/>
      <c r="R11" s="259"/>
      <c r="S11" s="260"/>
      <c r="T11" s="10"/>
      <c r="U11" s="259"/>
      <c r="V11" s="260"/>
      <c r="W11" s="10"/>
      <c r="X11" s="259"/>
      <c r="Y11" s="260"/>
      <c r="Z11" s="10"/>
      <c r="AA11" s="259"/>
      <c r="AB11" s="260"/>
      <c r="AC11" s="10"/>
      <c r="AD11" s="259"/>
      <c r="AE11" s="260"/>
    </row>
    <row r="12" spans="1:31" ht="78.75" customHeight="1">
      <c r="A12" s="261" t="s">
        <v>218</v>
      </c>
      <c r="B12" s="262"/>
      <c r="C12" s="263" t="s">
        <v>219</v>
      </c>
      <c r="D12" s="261" t="s">
        <v>220</v>
      </c>
      <c r="E12" s="261" t="s">
        <v>221</v>
      </c>
      <c r="F12" s="261" t="s">
        <v>222</v>
      </c>
      <c r="G12" s="264" t="s">
        <v>223</v>
      </c>
      <c r="H12" s="265" t="s">
        <v>224</v>
      </c>
      <c r="I12" s="265" t="s">
        <v>225</v>
      </c>
      <c r="J12" s="265" t="s">
        <v>226</v>
      </c>
      <c r="K12" s="265" t="s">
        <v>227</v>
      </c>
      <c r="L12" s="265" t="s">
        <v>228</v>
      </c>
      <c r="M12" s="265" t="s">
        <v>229</v>
      </c>
      <c r="N12" s="262"/>
      <c r="O12" s="266" t="s">
        <v>230</v>
      </c>
      <c r="P12" s="267" t="s">
        <v>231</v>
      </c>
      <c r="Q12" s="268"/>
      <c r="R12" s="266" t="s">
        <v>232</v>
      </c>
      <c r="S12" s="267" t="s">
        <v>233</v>
      </c>
      <c r="T12" s="268"/>
      <c r="U12" s="266" t="s">
        <v>234</v>
      </c>
      <c r="V12" s="267" t="s">
        <v>235</v>
      </c>
      <c r="W12" s="268"/>
      <c r="X12" s="266" t="s">
        <v>236</v>
      </c>
      <c r="Y12" s="267" t="s">
        <v>237</v>
      </c>
      <c r="Z12" s="268"/>
      <c r="AA12" s="266" t="s">
        <v>238</v>
      </c>
      <c r="AB12" s="267" t="s">
        <v>239</v>
      </c>
      <c r="AC12" s="268"/>
      <c r="AD12" s="266" t="s">
        <v>240</v>
      </c>
      <c r="AE12" s="267" t="s">
        <v>241</v>
      </c>
    </row>
    <row r="13" spans="1:31" ht="14.25">
      <c r="A13" s="269"/>
      <c r="B13" s="76"/>
      <c r="C13" s="270"/>
      <c r="D13" s="270"/>
      <c r="E13" s="270"/>
      <c r="F13" s="270"/>
      <c r="G13" s="271"/>
      <c r="H13" s="271"/>
      <c r="I13" s="271"/>
      <c r="J13" s="271"/>
      <c r="K13" s="271"/>
      <c r="L13" s="271"/>
      <c r="M13" s="271"/>
      <c r="N13" s="76"/>
      <c r="O13" s="272"/>
      <c r="P13" s="273"/>
      <c r="Q13" s="76"/>
      <c r="R13" s="272"/>
      <c r="S13" s="273"/>
      <c r="T13" s="76"/>
      <c r="U13" s="272"/>
      <c r="V13" s="273"/>
      <c r="W13" s="76"/>
      <c r="X13" s="272"/>
      <c r="Y13" s="273"/>
      <c r="Z13" s="76"/>
      <c r="AA13" s="272"/>
      <c r="AB13" s="273"/>
      <c r="AC13" s="76"/>
      <c r="AD13" s="272"/>
      <c r="AE13" s="273"/>
    </row>
    <row r="14" spans="1:31" ht="14.25">
      <c r="A14" s="70"/>
      <c r="B14" s="274"/>
      <c r="C14" s="633" t="s">
        <v>242</v>
      </c>
      <c r="D14" s="634"/>
      <c r="E14" s="634"/>
      <c r="F14" s="635"/>
      <c r="G14" s="639"/>
      <c r="H14" s="265"/>
      <c r="I14" s="265"/>
      <c r="J14" s="265"/>
      <c r="K14" s="265"/>
      <c r="L14" s="265"/>
      <c r="M14" s="265"/>
      <c r="N14" s="275"/>
      <c r="O14" s="266"/>
      <c r="P14" s="267"/>
      <c r="Q14" s="275"/>
      <c r="R14" s="266"/>
      <c r="S14" s="267"/>
      <c r="T14" s="275"/>
      <c r="U14" s="266"/>
      <c r="V14" s="267"/>
      <c r="W14" s="275"/>
      <c r="X14" s="266"/>
      <c r="Y14" s="267"/>
      <c r="Z14" s="275"/>
      <c r="AA14" s="266"/>
      <c r="AB14" s="267"/>
      <c r="AC14" s="275"/>
      <c r="AD14" s="266"/>
      <c r="AE14" s="267"/>
    </row>
    <row r="15" spans="1:31" ht="14.25">
      <c r="A15" s="70"/>
      <c r="B15" s="274"/>
      <c r="C15" s="276" t="s">
        <v>243</v>
      </c>
      <c r="D15" s="277">
        <v>13</v>
      </c>
      <c r="E15" s="278">
        <f>ROUND(D15*0.1655,2)</f>
        <v>2.15</v>
      </c>
      <c r="F15" s="278">
        <f>ROUND(D15*0.2489,2)</f>
        <v>3.24</v>
      </c>
      <c r="G15" s="278">
        <f>D15+E15</f>
        <v>15.15</v>
      </c>
      <c r="H15" s="279">
        <f>D15+F15</f>
        <v>16.240000000000002</v>
      </c>
      <c r="I15" s="279">
        <f>G15*(1+Assumptions!E$5)</f>
        <v>15.15</v>
      </c>
      <c r="J15" s="279">
        <f>I15*(1+Assumptions!F$5)</f>
        <v>15.301500000000001</v>
      </c>
      <c r="K15" s="279">
        <f>J15*(1+Assumptions!G$5)</f>
        <v>15.454515000000001</v>
      </c>
      <c r="L15" s="279">
        <f>K15*(1+Assumptions!H$5)</f>
        <v>15.609060150000001</v>
      </c>
      <c r="M15" s="279">
        <f>L15*(1+Assumptions!I$5)</f>
        <v>15.765150751500002</v>
      </c>
      <c r="N15" s="275"/>
      <c r="O15" s="280">
        <v>0</v>
      </c>
      <c r="P15" s="281">
        <f>ROUND(O15*$G15,0)</f>
        <v>0</v>
      </c>
      <c r="Q15" s="282"/>
      <c r="R15" s="280">
        <v>1440</v>
      </c>
      <c r="S15" s="281">
        <f>ROUND(R15*$I15,0)</f>
        <v>21816</v>
      </c>
      <c r="T15" s="282"/>
      <c r="U15" s="280">
        <v>1440</v>
      </c>
      <c r="V15" s="281">
        <f>ROUND(U15*$J15,0)</f>
        <v>22034</v>
      </c>
      <c r="W15" s="282"/>
      <c r="X15" s="280">
        <v>1440</v>
      </c>
      <c r="Y15" s="281">
        <f>ROUND(X15*$K15,0)</f>
        <v>22255</v>
      </c>
      <c r="Z15" s="282"/>
      <c r="AA15" s="280">
        <v>1440</v>
      </c>
      <c r="AB15" s="281">
        <f>ROUND(AA15*$L15,0)</f>
        <v>22477</v>
      </c>
      <c r="AC15" s="282"/>
      <c r="AD15" s="280">
        <v>1440</v>
      </c>
      <c r="AE15" s="281">
        <f>ROUND(AD15*$M15,0)</f>
        <v>22702</v>
      </c>
    </row>
    <row r="16" spans="1:31" ht="14.25">
      <c r="A16" s="70"/>
      <c r="B16" s="274"/>
      <c r="C16" s="276" t="s">
        <v>243</v>
      </c>
      <c r="D16" s="277">
        <v>13</v>
      </c>
      <c r="E16" s="278">
        <f t="shared" ref="E16:E18" si="0">ROUND(D16*0.1655,2)</f>
        <v>2.15</v>
      </c>
      <c r="F16" s="278">
        <f t="shared" ref="F16:F18" si="1">ROUND(D16*0.2489,2)</f>
        <v>3.24</v>
      </c>
      <c r="G16" s="278">
        <f t="shared" ref="G16:G18" si="2">D16+E16</f>
        <v>15.15</v>
      </c>
      <c r="H16" s="279">
        <f t="shared" ref="H16:H18" si="3">D16+F16</f>
        <v>16.240000000000002</v>
      </c>
      <c r="I16" s="279">
        <f>G16*(1+Assumptions!E$5)</f>
        <v>15.15</v>
      </c>
      <c r="J16" s="279">
        <f>I16*(1+Assumptions!F$5)</f>
        <v>15.301500000000001</v>
      </c>
      <c r="K16" s="279">
        <f>J16*(1+Assumptions!G$5)</f>
        <v>15.454515000000001</v>
      </c>
      <c r="L16" s="279">
        <f>K16*(1+Assumptions!H$5)</f>
        <v>15.609060150000001</v>
      </c>
      <c r="M16" s="279">
        <f>L16*(1+Assumptions!I$5)</f>
        <v>15.765150751500002</v>
      </c>
      <c r="N16" s="275"/>
      <c r="O16" s="280">
        <v>0</v>
      </c>
      <c r="P16" s="281">
        <f t="shared" ref="P16:P18" si="4">ROUND(O16*$G16,0)</f>
        <v>0</v>
      </c>
      <c r="Q16" s="282"/>
      <c r="R16" s="280">
        <v>0</v>
      </c>
      <c r="S16" s="281">
        <f t="shared" ref="S16:S18" si="5">ROUND(R16*$I16,0)</f>
        <v>0</v>
      </c>
      <c r="T16" s="282"/>
      <c r="U16" s="280">
        <v>0</v>
      </c>
      <c r="V16" s="281">
        <f t="shared" ref="V16:V18" si="6">ROUND(U16*$J16,0)</f>
        <v>0</v>
      </c>
      <c r="W16" s="282"/>
      <c r="X16" s="280">
        <v>0</v>
      </c>
      <c r="Y16" s="281">
        <f t="shared" ref="Y16:Y18" si="7">ROUND(X16*$K16,0)</f>
        <v>0</v>
      </c>
      <c r="Z16" s="282"/>
      <c r="AA16" s="280">
        <v>0</v>
      </c>
      <c r="AB16" s="281">
        <f t="shared" ref="AB16:AB18" si="8">ROUND(AA16*$L16,0)</f>
        <v>0</v>
      </c>
      <c r="AC16" s="282"/>
      <c r="AD16" s="280">
        <v>0</v>
      </c>
      <c r="AE16" s="281">
        <f t="shared" ref="AE16:AE18" si="9">ROUND(AD16*$M16,0)</f>
        <v>0</v>
      </c>
    </row>
    <row r="17" spans="1:31" ht="14.25">
      <c r="A17" s="70"/>
      <c r="B17" s="274"/>
      <c r="C17" s="276" t="s">
        <v>243</v>
      </c>
      <c r="D17" s="277">
        <v>13</v>
      </c>
      <c r="E17" s="278">
        <f t="shared" si="0"/>
        <v>2.15</v>
      </c>
      <c r="F17" s="278">
        <f t="shared" si="1"/>
        <v>3.24</v>
      </c>
      <c r="G17" s="278">
        <f t="shared" si="2"/>
        <v>15.15</v>
      </c>
      <c r="H17" s="279">
        <f t="shared" si="3"/>
        <v>16.240000000000002</v>
      </c>
      <c r="I17" s="279">
        <f>G17*(1+Assumptions!E$5)</f>
        <v>15.15</v>
      </c>
      <c r="J17" s="279">
        <f>I17*(1+Assumptions!F$5)</f>
        <v>15.301500000000001</v>
      </c>
      <c r="K17" s="279">
        <f>J17*(1+Assumptions!G$5)</f>
        <v>15.454515000000001</v>
      </c>
      <c r="L17" s="279">
        <f>K17*(1+Assumptions!H$5)</f>
        <v>15.609060150000001</v>
      </c>
      <c r="M17" s="279">
        <f>L17*(1+Assumptions!I$5)</f>
        <v>15.765150751500002</v>
      </c>
      <c r="N17" s="275"/>
      <c r="O17" s="280">
        <v>0</v>
      </c>
      <c r="P17" s="281">
        <f t="shared" si="4"/>
        <v>0</v>
      </c>
      <c r="Q17" s="282"/>
      <c r="R17" s="280">
        <v>0</v>
      </c>
      <c r="S17" s="281">
        <f t="shared" si="5"/>
        <v>0</v>
      </c>
      <c r="T17" s="282"/>
      <c r="U17" s="280">
        <v>0</v>
      </c>
      <c r="V17" s="281">
        <f t="shared" si="6"/>
        <v>0</v>
      </c>
      <c r="W17" s="282"/>
      <c r="X17" s="280">
        <v>0</v>
      </c>
      <c r="Y17" s="281">
        <f t="shared" si="7"/>
        <v>0</v>
      </c>
      <c r="Z17" s="282"/>
      <c r="AA17" s="280">
        <v>0</v>
      </c>
      <c r="AB17" s="281">
        <f t="shared" si="8"/>
        <v>0</v>
      </c>
      <c r="AC17" s="282"/>
      <c r="AD17" s="280">
        <v>0</v>
      </c>
      <c r="AE17" s="281">
        <f t="shared" si="9"/>
        <v>0</v>
      </c>
    </row>
    <row r="18" spans="1:31" ht="14.25">
      <c r="A18" s="70"/>
      <c r="B18" s="274"/>
      <c r="C18" s="283" t="s">
        <v>243</v>
      </c>
      <c r="D18" s="284">
        <v>13</v>
      </c>
      <c r="E18" s="285">
        <f t="shared" si="0"/>
        <v>2.15</v>
      </c>
      <c r="F18" s="285">
        <f t="shared" si="1"/>
        <v>3.24</v>
      </c>
      <c r="G18" s="285">
        <f t="shared" si="2"/>
        <v>15.15</v>
      </c>
      <c r="H18" s="286">
        <f t="shared" si="3"/>
        <v>16.240000000000002</v>
      </c>
      <c r="I18" s="286">
        <f>G18*(1+Assumptions!E$5)</f>
        <v>15.15</v>
      </c>
      <c r="J18" s="286">
        <f>I18*(1+Assumptions!F$5)</f>
        <v>15.301500000000001</v>
      </c>
      <c r="K18" s="286">
        <f>J18*(1+Assumptions!G$5)</f>
        <v>15.454515000000001</v>
      </c>
      <c r="L18" s="286">
        <f>K18*(1+Assumptions!H$5)</f>
        <v>15.609060150000001</v>
      </c>
      <c r="M18" s="286">
        <f>L18*(1+Assumptions!I$5)</f>
        <v>15.765150751500002</v>
      </c>
      <c r="N18" s="275"/>
      <c r="O18" s="287">
        <v>0</v>
      </c>
      <c r="P18" s="288">
        <f t="shared" si="4"/>
        <v>0</v>
      </c>
      <c r="Q18" s="282"/>
      <c r="R18" s="287">
        <v>0</v>
      </c>
      <c r="S18" s="288">
        <f t="shared" si="5"/>
        <v>0</v>
      </c>
      <c r="T18" s="282"/>
      <c r="U18" s="287">
        <v>0</v>
      </c>
      <c r="V18" s="288">
        <f t="shared" si="6"/>
        <v>0</v>
      </c>
      <c r="W18" s="282"/>
      <c r="X18" s="287">
        <v>0</v>
      </c>
      <c r="Y18" s="288">
        <f t="shared" si="7"/>
        <v>0</v>
      </c>
      <c r="Z18" s="282"/>
      <c r="AA18" s="287">
        <v>0</v>
      </c>
      <c r="AB18" s="288">
        <f t="shared" si="8"/>
        <v>0</v>
      </c>
      <c r="AC18" s="282"/>
      <c r="AD18" s="287">
        <v>0</v>
      </c>
      <c r="AE18" s="288">
        <f t="shared" si="9"/>
        <v>0</v>
      </c>
    </row>
    <row r="19" spans="1:31" ht="14.25">
      <c r="A19" s="70"/>
      <c r="B19" s="112"/>
      <c r="C19" s="289" t="s">
        <v>244</v>
      </c>
      <c r="D19" s="290">
        <f>SUM(D4:D18)</f>
        <v>52</v>
      </c>
      <c r="E19" s="291">
        <f>SUM(E4:E18)</f>
        <v>8.6</v>
      </c>
      <c r="F19" s="292">
        <f>SUM(F4:F18)</f>
        <v>12.96</v>
      </c>
      <c r="G19" s="293"/>
      <c r="H19" s="294"/>
      <c r="I19" s="294"/>
      <c r="J19" s="294"/>
      <c r="K19" s="294"/>
      <c r="L19" s="294"/>
      <c r="M19" s="294"/>
      <c r="N19" s="113"/>
      <c r="O19" s="295">
        <f>SUM(O15:O18)</f>
        <v>0</v>
      </c>
      <c r="P19" s="296">
        <f>SUM(P15:P18)</f>
        <v>0</v>
      </c>
      <c r="Q19" s="297"/>
      <c r="R19" s="295">
        <f>SUM(R15:R18)</f>
        <v>1440</v>
      </c>
      <c r="S19" s="296">
        <f>SUM(S15:S18)</f>
        <v>21816</v>
      </c>
      <c r="T19" s="297"/>
      <c r="U19" s="295">
        <f t="shared" ref="U19:V19" si="10">SUM(U15:U18)</f>
        <v>1440</v>
      </c>
      <c r="V19" s="296">
        <f t="shared" si="10"/>
        <v>22034</v>
      </c>
      <c r="W19" s="297"/>
      <c r="X19" s="295">
        <f t="shared" ref="X19:Y19" si="11">SUM(X15:X18)</f>
        <v>1440</v>
      </c>
      <c r="Y19" s="296">
        <f t="shared" si="11"/>
        <v>22255</v>
      </c>
      <c r="Z19" s="297"/>
      <c r="AA19" s="295">
        <f t="shared" ref="AA19:AB19" si="12">SUM(AA15:AA18)</f>
        <v>1440</v>
      </c>
      <c r="AB19" s="296">
        <f t="shared" si="12"/>
        <v>22477</v>
      </c>
      <c r="AC19" s="297"/>
      <c r="AD19" s="295">
        <f t="shared" ref="AD19:AE19" si="13">SUM(AD15:AD18)</f>
        <v>1440</v>
      </c>
      <c r="AE19" s="296">
        <f t="shared" si="13"/>
        <v>22702</v>
      </c>
    </row>
    <row r="20" spans="1:31" ht="14.25">
      <c r="A20" s="70"/>
      <c r="B20" s="10"/>
      <c r="C20" s="60"/>
      <c r="D20" s="60"/>
      <c r="E20" s="60"/>
      <c r="F20" s="60"/>
      <c r="G20" s="257"/>
      <c r="H20" s="257"/>
      <c r="I20" s="257"/>
      <c r="J20" s="257"/>
      <c r="K20" s="257"/>
      <c r="L20" s="257"/>
      <c r="M20" s="257"/>
      <c r="N20" s="10"/>
      <c r="O20" s="298"/>
      <c r="P20" s="299"/>
      <c r="Q20" s="10"/>
      <c r="R20" s="298"/>
      <c r="S20" s="299"/>
      <c r="T20" s="10"/>
      <c r="U20" s="298"/>
      <c r="V20" s="299"/>
      <c r="W20" s="10"/>
      <c r="X20" s="298"/>
      <c r="Y20" s="299"/>
      <c r="Z20" s="10"/>
      <c r="AA20" s="298"/>
      <c r="AB20" s="299"/>
      <c r="AC20" s="10"/>
      <c r="AD20" s="298"/>
      <c r="AE20" s="299"/>
    </row>
    <row r="21" spans="1:31" ht="14.25">
      <c r="A21" s="70"/>
      <c r="B21" s="274"/>
      <c r="C21" s="633" t="s">
        <v>245</v>
      </c>
      <c r="D21" s="634"/>
      <c r="E21" s="634"/>
      <c r="F21" s="634"/>
      <c r="G21" s="635"/>
      <c r="H21" s="265"/>
      <c r="I21" s="265"/>
      <c r="J21" s="265"/>
      <c r="K21" s="265"/>
      <c r="L21" s="265"/>
      <c r="M21" s="265"/>
      <c r="N21" s="275"/>
      <c r="O21" s="266"/>
      <c r="P21" s="267"/>
      <c r="Q21" s="275"/>
      <c r="R21" s="266"/>
      <c r="S21" s="267"/>
      <c r="T21" s="275"/>
      <c r="U21" s="266"/>
      <c r="V21" s="267"/>
      <c r="W21" s="275"/>
      <c r="X21" s="266"/>
      <c r="Y21" s="267"/>
      <c r="Z21" s="275"/>
      <c r="AA21" s="266"/>
      <c r="AB21" s="267"/>
      <c r="AC21" s="275"/>
      <c r="AD21" s="266"/>
      <c r="AE21" s="267"/>
    </row>
    <row r="22" spans="1:31" ht="14.25">
      <c r="A22" s="300" t="s">
        <v>246</v>
      </c>
      <c r="B22" s="274"/>
      <c r="C22" s="276" t="s">
        <v>247</v>
      </c>
      <c r="D22" s="301">
        <f>ROUND(VLOOKUP(A22,'AVERAGE SALARY LOOKUP - Table 1'!$A$3:$E$10004,4,FALSE),0)</f>
        <v>51768</v>
      </c>
      <c r="E22" s="277">
        <f>VLOOKUP(A22,'AVERAGE SALARY LOOKUP - Table 1'!$A$3:$F$700,6,FALSE)</f>
        <v>14176</v>
      </c>
      <c r="F22" s="277">
        <f>VLOOKUP(A22,'AVERAGE SALARY LOOKUP - Table 1'!$A$3:$G$700,7,FALSE)</f>
        <v>16250</v>
      </c>
      <c r="G22" s="302">
        <f t="shared" ref="G22:G37" si="14">D22+E22</f>
        <v>65944</v>
      </c>
      <c r="H22" s="303">
        <f t="shared" ref="H22:H37" si="15">D22+F22</f>
        <v>68018</v>
      </c>
      <c r="I22" s="303">
        <f>G22*(1+Assumptions!E$5)</f>
        <v>65944</v>
      </c>
      <c r="J22" s="303">
        <f>I22*(1+Assumptions!F$5)</f>
        <v>66603.44</v>
      </c>
      <c r="K22" s="303">
        <f>J22*(1+Assumptions!G$5)</f>
        <v>67269.474400000006</v>
      </c>
      <c r="L22" s="303">
        <f>K22*(1+Assumptions!H$5)</f>
        <v>67942.169144000014</v>
      </c>
      <c r="M22" s="303">
        <f>L22*(1+Assumptions!I$5)</f>
        <v>68621.590835440016</v>
      </c>
      <c r="N22" s="275"/>
      <c r="O22" s="280">
        <v>0</v>
      </c>
      <c r="P22" s="281">
        <f t="shared" ref="P22:P37" si="16">ROUND(O22*$G22,0)</f>
        <v>0</v>
      </c>
      <c r="Q22" s="275"/>
      <c r="R22" s="280">
        <v>1</v>
      </c>
      <c r="S22" s="281">
        <f t="shared" ref="S22:S37" si="17">ROUND(R22*$I22,0)</f>
        <v>65944</v>
      </c>
      <c r="T22" s="275"/>
      <c r="U22" s="280">
        <v>1</v>
      </c>
      <c r="V22" s="281">
        <f t="shared" ref="V22:V37" si="18">ROUND(U22*$J22,0)</f>
        <v>66603</v>
      </c>
      <c r="W22" s="275"/>
      <c r="X22" s="280">
        <v>1</v>
      </c>
      <c r="Y22" s="281">
        <f t="shared" ref="Y22:Y37" si="19">ROUND(X22*$K22,0)</f>
        <v>67269</v>
      </c>
      <c r="Z22" s="275"/>
      <c r="AA22" s="280">
        <v>1</v>
      </c>
      <c r="AB22" s="281">
        <f t="shared" ref="AB22:AB37" si="20">ROUND(AA22*$L22,0)</f>
        <v>67942</v>
      </c>
      <c r="AC22" s="275"/>
      <c r="AD22" s="280">
        <v>1</v>
      </c>
      <c r="AE22" s="281">
        <f t="shared" ref="AE22:AE37" si="21">ROUND(AD22*$M22,0)</f>
        <v>68622</v>
      </c>
    </row>
    <row r="23" spans="1:31" ht="14.25">
      <c r="A23" s="300" t="s">
        <v>248</v>
      </c>
      <c r="B23" s="274"/>
      <c r="C23" s="276" t="s">
        <v>249</v>
      </c>
      <c r="D23" s="301">
        <f>ROUND(VLOOKUP(A23,'AVERAGE SALARY LOOKUP - Table 1'!$A$3:$E$10004,4,FALSE),0)</f>
        <v>51768</v>
      </c>
      <c r="E23" s="277">
        <f>VLOOKUP(A23,'AVERAGE SALARY LOOKUP - Table 1'!$A$3:$F$700,6,FALSE)</f>
        <v>14176</v>
      </c>
      <c r="F23" s="277">
        <f>VLOOKUP(A23,'AVERAGE SALARY LOOKUP - Table 1'!$A$3:$G$700,7,FALSE)</f>
        <v>16250</v>
      </c>
      <c r="G23" s="302">
        <f t="shared" si="14"/>
        <v>65944</v>
      </c>
      <c r="H23" s="303">
        <f t="shared" si="15"/>
        <v>68018</v>
      </c>
      <c r="I23" s="303">
        <f>G23*(1+Assumptions!E$5)</f>
        <v>65944</v>
      </c>
      <c r="J23" s="303">
        <f>I23*(1+Assumptions!F$5)</f>
        <v>66603.44</v>
      </c>
      <c r="K23" s="303">
        <f>J23*(1+Assumptions!G$5)</f>
        <v>67269.474400000006</v>
      </c>
      <c r="L23" s="303">
        <f>K23*(1+Assumptions!H$5)</f>
        <v>67942.169144000014</v>
      </c>
      <c r="M23" s="303">
        <f>L23*(1+Assumptions!I$5)</f>
        <v>68621.590835440016</v>
      </c>
      <c r="N23" s="275"/>
      <c r="O23" s="280">
        <v>0</v>
      </c>
      <c r="P23" s="281">
        <f t="shared" si="16"/>
        <v>0</v>
      </c>
      <c r="Q23" s="275"/>
      <c r="R23" s="280">
        <v>10</v>
      </c>
      <c r="S23" s="281">
        <f t="shared" si="17"/>
        <v>659440</v>
      </c>
      <c r="T23" s="275"/>
      <c r="U23" s="280">
        <v>23</v>
      </c>
      <c r="V23" s="281">
        <f t="shared" si="18"/>
        <v>1531879</v>
      </c>
      <c r="W23" s="275"/>
      <c r="X23" s="280">
        <v>31</v>
      </c>
      <c r="Y23" s="281">
        <f t="shared" si="19"/>
        <v>2085354</v>
      </c>
      <c r="Z23" s="275"/>
      <c r="AA23" s="280">
        <v>34</v>
      </c>
      <c r="AB23" s="281">
        <f t="shared" si="20"/>
        <v>2310034</v>
      </c>
      <c r="AC23" s="275"/>
      <c r="AD23" s="280">
        <v>34</v>
      </c>
      <c r="AE23" s="281">
        <f t="shared" si="21"/>
        <v>2333134</v>
      </c>
    </row>
    <row r="24" spans="1:31" ht="14.25">
      <c r="A24" s="300" t="s">
        <v>248</v>
      </c>
      <c r="B24" s="274"/>
      <c r="C24" s="276" t="s">
        <v>250</v>
      </c>
      <c r="D24" s="301">
        <f>ROUND(VLOOKUP(A24,'AVERAGE SALARY LOOKUP - Table 1'!$A$3:$E$10004,4,FALSE),0)</f>
        <v>51768</v>
      </c>
      <c r="E24" s="277">
        <f>VLOOKUP(A24,'AVERAGE SALARY LOOKUP - Table 1'!$A$3:$F$700,6,FALSE)</f>
        <v>14176</v>
      </c>
      <c r="F24" s="277">
        <f>VLOOKUP(A24,'AVERAGE SALARY LOOKUP - Table 1'!$A$3:$G$700,7,FALSE)</f>
        <v>16250</v>
      </c>
      <c r="G24" s="302">
        <f t="shared" si="14"/>
        <v>65944</v>
      </c>
      <c r="H24" s="303">
        <f t="shared" si="15"/>
        <v>68018</v>
      </c>
      <c r="I24" s="303">
        <f>G24*(1+Assumptions!E$5)</f>
        <v>65944</v>
      </c>
      <c r="J24" s="303">
        <f>I24*(1+Assumptions!F$5)</f>
        <v>66603.44</v>
      </c>
      <c r="K24" s="303">
        <f>J24*(1+Assumptions!G$5)</f>
        <v>67269.474400000006</v>
      </c>
      <c r="L24" s="303">
        <f>K24*(1+Assumptions!H$5)</f>
        <v>67942.169144000014</v>
      </c>
      <c r="M24" s="303">
        <f>L24*(1+Assumptions!I$5)</f>
        <v>68621.590835440016</v>
      </c>
      <c r="N24" s="275"/>
      <c r="O24" s="280">
        <v>0</v>
      </c>
      <c r="P24" s="281">
        <f t="shared" si="16"/>
        <v>0</v>
      </c>
      <c r="Q24" s="275"/>
      <c r="R24" s="280"/>
      <c r="S24" s="281">
        <f t="shared" si="17"/>
        <v>0</v>
      </c>
      <c r="T24" s="275"/>
      <c r="U24" s="280"/>
      <c r="V24" s="281">
        <f t="shared" si="18"/>
        <v>0</v>
      </c>
      <c r="W24" s="275"/>
      <c r="X24" s="280"/>
      <c r="Y24" s="281">
        <f t="shared" si="19"/>
        <v>0</v>
      </c>
      <c r="Z24" s="275"/>
      <c r="AA24" s="280"/>
      <c r="AB24" s="281">
        <f t="shared" si="20"/>
        <v>0</v>
      </c>
      <c r="AC24" s="275"/>
      <c r="AD24" s="280"/>
      <c r="AE24" s="281">
        <f t="shared" si="21"/>
        <v>0</v>
      </c>
    </row>
    <row r="25" spans="1:31" ht="14.25">
      <c r="A25" s="300" t="s">
        <v>251</v>
      </c>
      <c r="B25" s="274"/>
      <c r="C25" s="276" t="s">
        <v>252</v>
      </c>
      <c r="D25" s="301">
        <f>ROUND(VLOOKUP(A25,'AVERAGE SALARY LOOKUP - Table 1'!$A$3:$E$10004,4,FALSE),0)</f>
        <v>51768</v>
      </c>
      <c r="E25" s="277">
        <f>VLOOKUP(A25,'AVERAGE SALARY LOOKUP - Table 1'!$A$3:$F$700,6,FALSE)</f>
        <v>14176</v>
      </c>
      <c r="F25" s="277">
        <f>VLOOKUP(A25,'AVERAGE SALARY LOOKUP - Table 1'!$A$3:$G$700,7,FALSE)</f>
        <v>16250</v>
      </c>
      <c r="G25" s="302">
        <f t="shared" si="14"/>
        <v>65944</v>
      </c>
      <c r="H25" s="303">
        <f t="shared" si="15"/>
        <v>68018</v>
      </c>
      <c r="I25" s="303">
        <f>G25*(1+Assumptions!E$5)</f>
        <v>65944</v>
      </c>
      <c r="J25" s="303">
        <f>I25*(1+Assumptions!F$5)</f>
        <v>66603.44</v>
      </c>
      <c r="K25" s="303">
        <f>J25*(1+Assumptions!G$5)</f>
        <v>67269.474400000006</v>
      </c>
      <c r="L25" s="303">
        <f>K25*(1+Assumptions!H$5)</f>
        <v>67942.169144000014</v>
      </c>
      <c r="M25" s="303">
        <f>L25*(1+Assumptions!I$5)</f>
        <v>68621.590835440016</v>
      </c>
      <c r="N25" s="275"/>
      <c r="O25" s="280">
        <v>0</v>
      </c>
      <c r="P25" s="281">
        <f t="shared" si="16"/>
        <v>0</v>
      </c>
      <c r="Q25" s="275"/>
      <c r="R25" s="280">
        <v>0</v>
      </c>
      <c r="S25" s="281">
        <f t="shared" si="17"/>
        <v>0</v>
      </c>
      <c r="T25" s="275"/>
      <c r="U25" s="280">
        <v>0</v>
      </c>
      <c r="V25" s="281">
        <f t="shared" si="18"/>
        <v>0</v>
      </c>
      <c r="W25" s="275"/>
      <c r="X25" s="280">
        <v>0</v>
      </c>
      <c r="Y25" s="281">
        <f t="shared" si="19"/>
        <v>0</v>
      </c>
      <c r="Z25" s="275"/>
      <c r="AA25" s="280">
        <v>0</v>
      </c>
      <c r="AB25" s="281">
        <f t="shared" si="20"/>
        <v>0</v>
      </c>
      <c r="AC25" s="275"/>
      <c r="AD25" s="280">
        <v>0</v>
      </c>
      <c r="AE25" s="281">
        <f t="shared" si="21"/>
        <v>0</v>
      </c>
    </row>
    <row r="26" spans="1:31" ht="14.25">
      <c r="A26" s="300" t="s">
        <v>253</v>
      </c>
      <c r="B26" s="274"/>
      <c r="C26" s="276" t="s">
        <v>254</v>
      </c>
      <c r="D26" s="301">
        <f>ROUND(VLOOKUP(A26,'AVERAGE SALARY LOOKUP - Table 1'!$A$3:$E$10004,4,FALSE),0)</f>
        <v>51768</v>
      </c>
      <c r="E26" s="277">
        <f>VLOOKUP(A26,'AVERAGE SALARY LOOKUP - Table 1'!$A$3:$F$700,6,FALSE)</f>
        <v>14176</v>
      </c>
      <c r="F26" s="277">
        <f>VLOOKUP(A26,'AVERAGE SALARY LOOKUP - Table 1'!$A$3:$G$700,7,FALSE)</f>
        <v>16250</v>
      </c>
      <c r="G26" s="302">
        <f t="shared" si="14"/>
        <v>65944</v>
      </c>
      <c r="H26" s="303">
        <f t="shared" si="15"/>
        <v>68018</v>
      </c>
      <c r="I26" s="303">
        <f>G26*(1+Assumptions!E$5)</f>
        <v>65944</v>
      </c>
      <c r="J26" s="303">
        <f>I26*(1+Assumptions!F$5)</f>
        <v>66603.44</v>
      </c>
      <c r="K26" s="303">
        <f>J26*(1+Assumptions!G$5)</f>
        <v>67269.474400000006</v>
      </c>
      <c r="L26" s="303">
        <f>K26*(1+Assumptions!H$5)</f>
        <v>67942.169144000014</v>
      </c>
      <c r="M26" s="303">
        <f>L26*(1+Assumptions!I$5)</f>
        <v>68621.590835440016</v>
      </c>
      <c r="N26" s="275"/>
      <c r="O26" s="280">
        <v>0</v>
      </c>
      <c r="P26" s="281">
        <f t="shared" si="16"/>
        <v>0</v>
      </c>
      <c r="Q26" s="275"/>
      <c r="R26" s="553">
        <v>1</v>
      </c>
      <c r="S26" s="281">
        <f t="shared" si="17"/>
        <v>65944</v>
      </c>
      <c r="T26" s="275"/>
      <c r="U26" s="553">
        <v>2</v>
      </c>
      <c r="V26" s="281">
        <f t="shared" si="18"/>
        <v>133207</v>
      </c>
      <c r="W26" s="275"/>
      <c r="X26" s="553">
        <v>3</v>
      </c>
      <c r="Y26" s="281">
        <f t="shared" si="19"/>
        <v>201808</v>
      </c>
      <c r="Z26" s="275"/>
      <c r="AA26" s="553">
        <v>3.5</v>
      </c>
      <c r="AB26" s="281">
        <f t="shared" si="20"/>
        <v>237798</v>
      </c>
      <c r="AC26" s="275"/>
      <c r="AD26" s="553">
        <v>3.5</v>
      </c>
      <c r="AE26" s="281">
        <f t="shared" si="21"/>
        <v>240176</v>
      </c>
    </row>
    <row r="27" spans="1:31" ht="14.25">
      <c r="A27" s="300" t="s">
        <v>248</v>
      </c>
      <c r="B27" s="274"/>
      <c r="C27" s="276" t="s">
        <v>255</v>
      </c>
      <c r="D27" s="301">
        <f>ROUND(VLOOKUP(A27,'AVERAGE SALARY LOOKUP - Table 1'!$A$3:$E$10004,4,FALSE),0)</f>
        <v>51768</v>
      </c>
      <c r="E27" s="277">
        <f>VLOOKUP(A27,'AVERAGE SALARY LOOKUP - Table 1'!$A$3:$F$700,6,FALSE)</f>
        <v>14176</v>
      </c>
      <c r="F27" s="277">
        <f>VLOOKUP(A27,'AVERAGE SALARY LOOKUP - Table 1'!$A$3:$G$700,7,FALSE)</f>
        <v>16250</v>
      </c>
      <c r="G27" s="302">
        <f t="shared" si="14"/>
        <v>65944</v>
      </c>
      <c r="H27" s="303">
        <f t="shared" si="15"/>
        <v>68018</v>
      </c>
      <c r="I27" s="303">
        <f>G27*(1+Assumptions!E$5)</f>
        <v>65944</v>
      </c>
      <c r="J27" s="303">
        <f>I27*(1+Assumptions!F$5)</f>
        <v>66603.44</v>
      </c>
      <c r="K27" s="303">
        <f>J27*(1+Assumptions!G$5)</f>
        <v>67269.474400000006</v>
      </c>
      <c r="L27" s="303">
        <f>K27*(1+Assumptions!H$5)</f>
        <v>67942.169144000014</v>
      </c>
      <c r="M27" s="303">
        <f>L27*(1+Assumptions!I$5)</f>
        <v>68621.590835440016</v>
      </c>
      <c r="N27" s="275"/>
      <c r="O27" s="280">
        <v>0</v>
      </c>
      <c r="P27" s="281">
        <f t="shared" si="16"/>
        <v>0</v>
      </c>
      <c r="Q27" s="275"/>
      <c r="R27" s="280">
        <v>0</v>
      </c>
      <c r="S27" s="281">
        <f t="shared" si="17"/>
        <v>0</v>
      </c>
      <c r="T27" s="275"/>
      <c r="U27" s="280">
        <v>0</v>
      </c>
      <c r="V27" s="281">
        <f t="shared" si="18"/>
        <v>0</v>
      </c>
      <c r="W27" s="275"/>
      <c r="X27" s="280">
        <v>0</v>
      </c>
      <c r="Y27" s="281">
        <f t="shared" si="19"/>
        <v>0</v>
      </c>
      <c r="Z27" s="275"/>
      <c r="AA27" s="280">
        <v>0</v>
      </c>
      <c r="AB27" s="281">
        <f t="shared" si="20"/>
        <v>0</v>
      </c>
      <c r="AC27" s="275"/>
      <c r="AD27" s="280">
        <v>0</v>
      </c>
      <c r="AE27" s="281">
        <f t="shared" si="21"/>
        <v>0</v>
      </c>
    </row>
    <row r="28" spans="1:31" ht="14.25">
      <c r="A28" s="300" t="s">
        <v>248</v>
      </c>
      <c r="B28" s="274"/>
      <c r="C28" s="276" t="s">
        <v>256</v>
      </c>
      <c r="D28" s="301">
        <f>ROUND(VLOOKUP(A28,'AVERAGE SALARY LOOKUP - Table 1'!$A$3:$E$10004,4,FALSE),0)</f>
        <v>51768</v>
      </c>
      <c r="E28" s="277">
        <f>VLOOKUP(A28,'AVERAGE SALARY LOOKUP - Table 1'!$A$3:$F$700,6,FALSE)</f>
        <v>14176</v>
      </c>
      <c r="F28" s="277">
        <f>VLOOKUP(A28,'AVERAGE SALARY LOOKUP - Table 1'!$A$3:$G$700,7,FALSE)</f>
        <v>16250</v>
      </c>
      <c r="G28" s="302">
        <f t="shared" si="14"/>
        <v>65944</v>
      </c>
      <c r="H28" s="303">
        <f t="shared" si="15"/>
        <v>68018</v>
      </c>
      <c r="I28" s="303">
        <f>G28*(1+Assumptions!E$5)</f>
        <v>65944</v>
      </c>
      <c r="J28" s="303">
        <f>I28*(1+Assumptions!F$5)</f>
        <v>66603.44</v>
      </c>
      <c r="K28" s="303">
        <f>J28*(1+Assumptions!G$5)</f>
        <v>67269.474400000006</v>
      </c>
      <c r="L28" s="303">
        <f>K28*(1+Assumptions!H$5)</f>
        <v>67942.169144000014</v>
      </c>
      <c r="M28" s="303">
        <f>L28*(1+Assumptions!I$5)</f>
        <v>68621.590835440016</v>
      </c>
      <c r="N28" s="275"/>
      <c r="O28" s="280">
        <v>0</v>
      </c>
      <c r="P28" s="281">
        <f t="shared" si="16"/>
        <v>0</v>
      </c>
      <c r="Q28" s="275"/>
      <c r="R28" s="280"/>
      <c r="S28" s="281">
        <f t="shared" si="17"/>
        <v>0</v>
      </c>
      <c r="T28" s="275"/>
      <c r="U28" s="280">
        <v>0</v>
      </c>
      <c r="V28" s="281">
        <f t="shared" si="18"/>
        <v>0</v>
      </c>
      <c r="W28" s="275"/>
      <c r="X28" s="280">
        <v>0</v>
      </c>
      <c r="Y28" s="281">
        <f t="shared" si="19"/>
        <v>0</v>
      </c>
      <c r="Z28" s="275"/>
      <c r="AA28" s="280">
        <v>0</v>
      </c>
      <c r="AB28" s="281">
        <f t="shared" si="20"/>
        <v>0</v>
      </c>
      <c r="AC28" s="275"/>
      <c r="AD28" s="280">
        <v>0</v>
      </c>
      <c r="AE28" s="281">
        <f t="shared" si="21"/>
        <v>0</v>
      </c>
    </row>
    <row r="29" spans="1:31" ht="14.25">
      <c r="A29" s="300" t="s">
        <v>257</v>
      </c>
      <c r="B29" s="274"/>
      <c r="C29" s="276" t="s">
        <v>258</v>
      </c>
      <c r="D29" s="301">
        <f>ROUND(VLOOKUP(A29,'AVERAGE SALARY LOOKUP - Table 1'!$A$3:$E$10004,4,FALSE),0)</f>
        <v>51768</v>
      </c>
      <c r="E29" s="277">
        <f>VLOOKUP(A29,'AVERAGE SALARY LOOKUP - Table 1'!$A$3:$F$700,6,FALSE)</f>
        <v>14176</v>
      </c>
      <c r="F29" s="277">
        <f>VLOOKUP(A29,'AVERAGE SALARY LOOKUP - Table 1'!$A$3:$G$700,7,FALSE)</f>
        <v>16250</v>
      </c>
      <c r="G29" s="302">
        <f t="shared" ref="G29:G30" si="22">D29+E29</f>
        <v>65944</v>
      </c>
      <c r="H29" s="303">
        <f t="shared" ref="H29:H30" si="23">D29+F29</f>
        <v>68018</v>
      </c>
      <c r="I29" s="303">
        <f>G29*(1+Assumptions!E$5)</f>
        <v>65944</v>
      </c>
      <c r="J29" s="303">
        <f>I29*(1+Assumptions!F$5)</f>
        <v>66603.44</v>
      </c>
      <c r="K29" s="303">
        <f>J29*(1+Assumptions!G$5)</f>
        <v>67269.474400000006</v>
      </c>
      <c r="L29" s="303">
        <f>K29*(1+Assumptions!H$5)</f>
        <v>67942.169144000014</v>
      </c>
      <c r="M29" s="303">
        <f>L29*(1+Assumptions!I$5)</f>
        <v>68621.590835440016</v>
      </c>
      <c r="N29" s="275"/>
      <c r="O29" s="280">
        <v>0</v>
      </c>
      <c r="P29" s="281">
        <f t="shared" si="16"/>
        <v>0</v>
      </c>
      <c r="Q29" s="275"/>
      <c r="R29" s="280"/>
      <c r="S29" s="281">
        <f t="shared" si="17"/>
        <v>0</v>
      </c>
      <c r="T29" s="275"/>
      <c r="U29" s="280">
        <v>0</v>
      </c>
      <c r="V29" s="281">
        <f t="shared" si="18"/>
        <v>0</v>
      </c>
      <c r="W29" s="275"/>
      <c r="X29" s="280"/>
      <c r="Y29" s="281">
        <f t="shared" si="19"/>
        <v>0</v>
      </c>
      <c r="Z29" s="275"/>
      <c r="AA29" s="280"/>
      <c r="AB29" s="281">
        <f t="shared" si="20"/>
        <v>0</v>
      </c>
      <c r="AC29" s="275"/>
      <c r="AD29" s="280"/>
      <c r="AE29" s="281">
        <f t="shared" si="21"/>
        <v>0</v>
      </c>
    </row>
    <row r="30" spans="1:31" ht="14.25">
      <c r="A30" s="300" t="s">
        <v>259</v>
      </c>
      <c r="B30" s="274"/>
      <c r="C30" s="276" t="s">
        <v>260</v>
      </c>
      <c r="D30" s="301">
        <f>ROUND(VLOOKUP(A30,'AVERAGE SALARY LOOKUP - Table 1'!$A$3:$E$10004,4,FALSE),0)</f>
        <v>23916</v>
      </c>
      <c r="E30" s="277">
        <f>VLOOKUP(A30,'AVERAGE SALARY LOOKUP - Table 1'!$A$3:$F$700,6,FALSE)</f>
        <v>7858</v>
      </c>
      <c r="F30" s="277">
        <f>VLOOKUP(A30,'AVERAGE SALARY LOOKUP - Table 1'!$A$3:$G$700,7,FALSE)</f>
        <v>7507</v>
      </c>
      <c r="G30" s="302">
        <f t="shared" si="22"/>
        <v>31774</v>
      </c>
      <c r="H30" s="303">
        <f t="shared" si="23"/>
        <v>31423</v>
      </c>
      <c r="I30" s="303">
        <f>G30*(1+Assumptions!E$5)</f>
        <v>31774</v>
      </c>
      <c r="J30" s="303">
        <f>I30*(1+Assumptions!F$5)</f>
        <v>32091.74</v>
      </c>
      <c r="K30" s="303">
        <f>J30*(1+Assumptions!G$5)</f>
        <v>32412.657400000004</v>
      </c>
      <c r="L30" s="303">
        <f>K30*(1+Assumptions!H$5)</f>
        <v>32736.783974000005</v>
      </c>
      <c r="M30" s="303">
        <f>L30*(1+Assumptions!I$5)</f>
        <v>33064.151813740005</v>
      </c>
      <c r="N30" s="275"/>
      <c r="O30" s="280">
        <v>0</v>
      </c>
      <c r="P30" s="281">
        <f t="shared" si="16"/>
        <v>0</v>
      </c>
      <c r="Q30" s="275"/>
      <c r="R30" s="280">
        <v>0</v>
      </c>
      <c r="S30" s="281">
        <f t="shared" si="17"/>
        <v>0</v>
      </c>
      <c r="T30" s="275"/>
      <c r="U30" s="280">
        <v>0</v>
      </c>
      <c r="V30" s="281">
        <f t="shared" si="18"/>
        <v>0</v>
      </c>
      <c r="W30" s="275"/>
      <c r="X30" s="280">
        <v>0</v>
      </c>
      <c r="Y30" s="281">
        <f t="shared" si="19"/>
        <v>0</v>
      </c>
      <c r="Z30" s="275"/>
      <c r="AA30" s="280">
        <v>0</v>
      </c>
      <c r="AB30" s="281">
        <f t="shared" si="20"/>
        <v>0</v>
      </c>
      <c r="AC30" s="275"/>
      <c r="AD30" s="280">
        <v>0</v>
      </c>
      <c r="AE30" s="281">
        <f t="shared" si="21"/>
        <v>0</v>
      </c>
    </row>
    <row r="31" spans="1:31" ht="14.25">
      <c r="A31" s="300" t="s">
        <v>261</v>
      </c>
      <c r="B31" s="274"/>
      <c r="C31" s="276" t="s">
        <v>262</v>
      </c>
      <c r="D31" s="301">
        <f>ROUND(VLOOKUP(A31,'AVERAGE SALARY LOOKUP - Table 1'!$A$3:$E$10004,4,FALSE),0)</f>
        <v>51768</v>
      </c>
      <c r="E31" s="277">
        <f>VLOOKUP(A31,'AVERAGE SALARY LOOKUP - Table 1'!$A$3:$F$700,6,FALSE)</f>
        <v>14176</v>
      </c>
      <c r="F31" s="277">
        <f>VLOOKUP(A31,'AVERAGE SALARY LOOKUP - Table 1'!$A$3:$G$700,7,FALSE)</f>
        <v>16250</v>
      </c>
      <c r="G31" s="302">
        <f t="shared" si="14"/>
        <v>65944</v>
      </c>
      <c r="H31" s="303">
        <f t="shared" si="15"/>
        <v>68018</v>
      </c>
      <c r="I31" s="303">
        <f>G31*(1+Assumptions!E$5)</f>
        <v>65944</v>
      </c>
      <c r="J31" s="303">
        <f>I31*(1+Assumptions!F$5)</f>
        <v>66603.44</v>
      </c>
      <c r="K31" s="303">
        <f>J31*(1+Assumptions!G$5)</f>
        <v>67269.474400000006</v>
      </c>
      <c r="L31" s="303">
        <f>K31*(1+Assumptions!H$5)</f>
        <v>67942.169144000014</v>
      </c>
      <c r="M31" s="303">
        <f>L31*(1+Assumptions!I$5)</f>
        <v>68621.590835440016</v>
      </c>
      <c r="N31" s="275"/>
      <c r="O31" s="280">
        <v>0</v>
      </c>
      <c r="P31" s="281">
        <f t="shared" si="16"/>
        <v>0</v>
      </c>
      <c r="Q31" s="275"/>
      <c r="R31" s="280">
        <v>0</v>
      </c>
      <c r="S31" s="281">
        <f t="shared" si="17"/>
        <v>0</v>
      </c>
      <c r="T31" s="275"/>
      <c r="U31" s="280"/>
      <c r="V31" s="281">
        <f t="shared" si="18"/>
        <v>0</v>
      </c>
      <c r="W31" s="275"/>
      <c r="X31" s="280"/>
      <c r="Y31" s="281">
        <f t="shared" si="19"/>
        <v>0</v>
      </c>
      <c r="Z31" s="275"/>
      <c r="AA31" s="280"/>
      <c r="AB31" s="281">
        <f t="shared" si="20"/>
        <v>0</v>
      </c>
      <c r="AC31" s="275"/>
      <c r="AD31" s="280"/>
      <c r="AE31" s="281">
        <f t="shared" si="21"/>
        <v>0</v>
      </c>
    </row>
    <row r="32" spans="1:31" ht="14.25">
      <c r="A32" s="300" t="s">
        <v>263</v>
      </c>
      <c r="B32" s="274"/>
      <c r="C32" s="276" t="s">
        <v>264</v>
      </c>
      <c r="D32" s="301">
        <f>ROUND(VLOOKUP(A32,'AVERAGE SALARY LOOKUP - Table 1'!$A$3:$E$10004,4,FALSE),0)</f>
        <v>51768</v>
      </c>
      <c r="E32" s="277">
        <f>VLOOKUP(A32,'AVERAGE SALARY LOOKUP - Table 1'!$A$3:$F$700,6,FALSE)</f>
        <v>14176</v>
      </c>
      <c r="F32" s="277">
        <f>VLOOKUP(A32,'AVERAGE SALARY LOOKUP - Table 1'!$A$3:$G$700,7,FALSE)</f>
        <v>16250</v>
      </c>
      <c r="G32" s="302">
        <f t="shared" si="14"/>
        <v>65944</v>
      </c>
      <c r="H32" s="303">
        <f t="shared" si="15"/>
        <v>68018</v>
      </c>
      <c r="I32" s="303">
        <f>G32*(1+Assumptions!E$5)</f>
        <v>65944</v>
      </c>
      <c r="J32" s="303">
        <f>I32*(1+Assumptions!F$5)</f>
        <v>66603.44</v>
      </c>
      <c r="K32" s="303">
        <f>J32*(1+Assumptions!G$5)</f>
        <v>67269.474400000006</v>
      </c>
      <c r="L32" s="303">
        <f>K32*(1+Assumptions!H$5)</f>
        <v>67942.169144000014</v>
      </c>
      <c r="M32" s="303">
        <f>L32*(1+Assumptions!I$5)</f>
        <v>68621.590835440016</v>
      </c>
      <c r="N32" s="275"/>
      <c r="O32" s="280">
        <v>0</v>
      </c>
      <c r="P32" s="281">
        <f t="shared" si="16"/>
        <v>0</v>
      </c>
      <c r="Q32" s="275"/>
      <c r="R32" s="280">
        <v>0</v>
      </c>
      <c r="S32" s="281">
        <f t="shared" si="17"/>
        <v>0</v>
      </c>
      <c r="T32" s="275"/>
      <c r="U32" s="280">
        <v>0</v>
      </c>
      <c r="V32" s="281">
        <f t="shared" si="18"/>
        <v>0</v>
      </c>
      <c r="W32" s="275"/>
      <c r="X32" s="280">
        <v>1</v>
      </c>
      <c r="Y32" s="281">
        <f t="shared" si="19"/>
        <v>67269</v>
      </c>
      <c r="Z32" s="275"/>
      <c r="AA32" s="280">
        <v>1</v>
      </c>
      <c r="AB32" s="281">
        <f t="shared" si="20"/>
        <v>67942</v>
      </c>
      <c r="AC32" s="275"/>
      <c r="AD32" s="280">
        <v>1</v>
      </c>
      <c r="AE32" s="281">
        <f t="shared" si="21"/>
        <v>68622</v>
      </c>
    </row>
    <row r="33" spans="1:31" ht="14.25">
      <c r="A33" s="300" t="s">
        <v>265</v>
      </c>
      <c r="B33" s="274"/>
      <c r="C33" s="276" t="s">
        <v>266</v>
      </c>
      <c r="D33" s="301">
        <f>ROUND(VLOOKUP(A33,'AVERAGE SALARY LOOKUP - Table 1'!$A$3:$E$10004,4,FALSE),0)</f>
        <v>66280</v>
      </c>
      <c r="E33" s="277">
        <f>VLOOKUP(A33,'AVERAGE SALARY LOOKUP - Table 1'!$A$3:$F$700,6,FALSE)</f>
        <v>16752</v>
      </c>
      <c r="F33" s="277">
        <f>VLOOKUP(A33,'AVERAGE SALARY LOOKUP - Table 1'!$A$3:$G$700,7,FALSE)</f>
        <v>20805</v>
      </c>
      <c r="G33" s="302">
        <f t="shared" si="14"/>
        <v>83032</v>
      </c>
      <c r="H33" s="303">
        <f t="shared" si="15"/>
        <v>87085</v>
      </c>
      <c r="I33" s="303">
        <f>G33*(1+Assumptions!E$5)</f>
        <v>83032</v>
      </c>
      <c r="J33" s="303">
        <f>I33*(1+Assumptions!F$5)</f>
        <v>83862.320000000007</v>
      </c>
      <c r="K33" s="303">
        <f>J33*(1+Assumptions!G$5)</f>
        <v>84700.943200000009</v>
      </c>
      <c r="L33" s="303">
        <f>K33*(1+Assumptions!H$5)</f>
        <v>85547.952632000015</v>
      </c>
      <c r="M33" s="303">
        <f>L33*(1+Assumptions!I$5)</f>
        <v>86403.432158320022</v>
      </c>
      <c r="N33" s="275"/>
      <c r="O33" s="280">
        <v>0</v>
      </c>
      <c r="P33" s="281">
        <f t="shared" si="16"/>
        <v>0</v>
      </c>
      <c r="Q33" s="275"/>
      <c r="R33" s="280">
        <v>0.4</v>
      </c>
      <c r="S33" s="281">
        <f t="shared" si="17"/>
        <v>33213</v>
      </c>
      <c r="T33" s="275"/>
      <c r="U33" s="280">
        <v>1</v>
      </c>
      <c r="V33" s="281">
        <f t="shared" si="18"/>
        <v>83862</v>
      </c>
      <c r="W33" s="275"/>
      <c r="X33" s="280">
        <v>1</v>
      </c>
      <c r="Y33" s="281">
        <f t="shared" si="19"/>
        <v>84701</v>
      </c>
      <c r="Z33" s="275"/>
      <c r="AA33" s="280">
        <v>1</v>
      </c>
      <c r="AB33" s="281">
        <f t="shared" si="20"/>
        <v>85548</v>
      </c>
      <c r="AC33" s="275"/>
      <c r="AD33" s="280">
        <v>1</v>
      </c>
      <c r="AE33" s="281">
        <f t="shared" si="21"/>
        <v>86403</v>
      </c>
    </row>
    <row r="34" spans="1:31" ht="14.25">
      <c r="A34" s="300" t="s">
        <v>267</v>
      </c>
      <c r="B34" s="274"/>
      <c r="C34" s="276" t="s">
        <v>268</v>
      </c>
      <c r="D34" s="301">
        <f>ROUND(VLOOKUP(A34,'AVERAGE SALARY LOOKUP - Table 1'!$A$3:$E$10004,4,FALSE),0)</f>
        <v>66280</v>
      </c>
      <c r="E34" s="277">
        <f>VLOOKUP(A34,'AVERAGE SALARY LOOKUP - Table 1'!$A$3:$F$700,6,FALSE)</f>
        <v>16752</v>
      </c>
      <c r="F34" s="277">
        <f>VLOOKUP(A34,'AVERAGE SALARY LOOKUP - Table 1'!$A$3:$G$700,7,FALSE)</f>
        <v>20805</v>
      </c>
      <c r="G34" s="302">
        <f t="shared" si="14"/>
        <v>83032</v>
      </c>
      <c r="H34" s="303">
        <f t="shared" si="15"/>
        <v>87085</v>
      </c>
      <c r="I34" s="303">
        <f>G34*(1+Assumptions!E$5)</f>
        <v>83032</v>
      </c>
      <c r="J34" s="303">
        <f>I34*(1+Assumptions!F$5)</f>
        <v>83862.320000000007</v>
      </c>
      <c r="K34" s="303">
        <f>J34*(1+Assumptions!G$5)</f>
        <v>84700.943200000009</v>
      </c>
      <c r="L34" s="303">
        <f>K34*(1+Assumptions!H$5)</f>
        <v>85547.952632000015</v>
      </c>
      <c r="M34" s="303">
        <f>L34*(1+Assumptions!I$5)</f>
        <v>86403.432158320022</v>
      </c>
      <c r="N34" s="275"/>
      <c r="O34" s="280">
        <v>0</v>
      </c>
      <c r="P34" s="281">
        <f t="shared" si="16"/>
        <v>0</v>
      </c>
      <c r="Q34" s="275"/>
      <c r="R34" s="280">
        <v>0.2</v>
      </c>
      <c r="S34" s="281">
        <f t="shared" si="17"/>
        <v>16606</v>
      </c>
      <c r="T34" s="275"/>
      <c r="U34" s="280">
        <v>0.4</v>
      </c>
      <c r="V34" s="281">
        <f t="shared" si="18"/>
        <v>33545</v>
      </c>
      <c r="W34" s="275"/>
      <c r="X34" s="280">
        <v>0.6</v>
      </c>
      <c r="Y34" s="281">
        <f t="shared" si="19"/>
        <v>50821</v>
      </c>
      <c r="Z34" s="275"/>
      <c r="AA34" s="280">
        <v>0.6</v>
      </c>
      <c r="AB34" s="281">
        <f t="shared" si="20"/>
        <v>51329</v>
      </c>
      <c r="AC34" s="275"/>
      <c r="AD34" s="280">
        <v>0.6</v>
      </c>
      <c r="AE34" s="281">
        <f t="shared" si="21"/>
        <v>51842</v>
      </c>
    </row>
    <row r="35" spans="1:31" ht="14.25">
      <c r="A35" s="300" t="s">
        <v>269</v>
      </c>
      <c r="B35" s="274"/>
      <c r="C35" s="276" t="s">
        <v>270</v>
      </c>
      <c r="D35" s="301">
        <f>ROUND(VLOOKUP(A35,'AVERAGE SALARY LOOKUP - Table 1'!$A$3:$E$10004,4,FALSE),0)</f>
        <v>51768</v>
      </c>
      <c r="E35" s="277">
        <f>VLOOKUP(A35,'AVERAGE SALARY LOOKUP - Table 1'!$A$3:$F$700,6,FALSE)</f>
        <v>14176</v>
      </c>
      <c r="F35" s="277">
        <f>VLOOKUP(A35,'AVERAGE SALARY LOOKUP - Table 1'!$A$3:$G$700,7,FALSE)</f>
        <v>16250</v>
      </c>
      <c r="G35" s="302">
        <f t="shared" si="14"/>
        <v>65944</v>
      </c>
      <c r="H35" s="303">
        <f t="shared" si="15"/>
        <v>68018</v>
      </c>
      <c r="I35" s="303">
        <f>G35*(1+Assumptions!E$5)</f>
        <v>65944</v>
      </c>
      <c r="J35" s="303">
        <f>I35*(1+Assumptions!F$5)</f>
        <v>66603.44</v>
      </c>
      <c r="K35" s="303">
        <f>J35*(1+Assumptions!G$5)</f>
        <v>67269.474400000006</v>
      </c>
      <c r="L35" s="303">
        <f>K35*(1+Assumptions!H$5)</f>
        <v>67942.169144000014</v>
      </c>
      <c r="M35" s="303">
        <f>L35*(1+Assumptions!I$5)</f>
        <v>68621.590835440016</v>
      </c>
      <c r="N35" s="275"/>
      <c r="O35" s="280">
        <v>0</v>
      </c>
      <c r="P35" s="281">
        <f t="shared" si="16"/>
        <v>0</v>
      </c>
      <c r="Q35" s="275"/>
      <c r="R35" s="280"/>
      <c r="S35" s="281">
        <f t="shared" si="17"/>
        <v>0</v>
      </c>
      <c r="T35" s="275"/>
      <c r="U35" s="280"/>
      <c r="V35" s="281">
        <f t="shared" si="18"/>
        <v>0</v>
      </c>
      <c r="W35" s="275"/>
      <c r="X35" s="280"/>
      <c r="Y35" s="281">
        <f t="shared" si="19"/>
        <v>0</v>
      </c>
      <c r="Z35" s="275"/>
      <c r="AA35" s="280"/>
      <c r="AB35" s="281">
        <f t="shared" si="20"/>
        <v>0</v>
      </c>
      <c r="AC35" s="275"/>
      <c r="AD35" s="280"/>
      <c r="AE35" s="281">
        <f t="shared" si="21"/>
        <v>0</v>
      </c>
    </row>
    <row r="36" spans="1:31" ht="14.25">
      <c r="A36" s="300" t="s">
        <v>271</v>
      </c>
      <c r="B36" s="274"/>
      <c r="C36" s="276" t="s">
        <v>272</v>
      </c>
      <c r="D36" s="301">
        <f>ROUND(VLOOKUP(A36,'AVERAGE SALARY LOOKUP - Table 1'!$A$3:$E$10004,4,FALSE),0)</f>
        <v>57998</v>
      </c>
      <c r="E36" s="277">
        <f>VLOOKUP(A36,'AVERAGE SALARY LOOKUP - Table 1'!$A$3:$F$700,6,FALSE)</f>
        <v>15282</v>
      </c>
      <c r="F36" s="277">
        <f>VLOOKUP(A36,'AVERAGE SALARY LOOKUP - Table 1'!$A$3:$G$700,7,FALSE)</f>
        <v>18206</v>
      </c>
      <c r="G36" s="302">
        <f t="shared" si="14"/>
        <v>73280</v>
      </c>
      <c r="H36" s="303">
        <f t="shared" si="15"/>
        <v>76204</v>
      </c>
      <c r="I36" s="303">
        <f>G36*(1+Assumptions!E$5)</f>
        <v>73280</v>
      </c>
      <c r="J36" s="303">
        <f>I36*(1+Assumptions!F$5)</f>
        <v>74012.800000000003</v>
      </c>
      <c r="K36" s="303">
        <f>J36*(1+Assumptions!G$5)</f>
        <v>74752.928</v>
      </c>
      <c r="L36" s="303">
        <f>K36*(1+Assumptions!H$5)</f>
        <v>75500.457280000002</v>
      </c>
      <c r="M36" s="303">
        <f>L36*(1+Assumptions!I$5)</f>
        <v>76255.461852799999</v>
      </c>
      <c r="N36" s="275"/>
      <c r="O36" s="280">
        <v>0</v>
      </c>
      <c r="P36" s="281">
        <f t="shared" si="16"/>
        <v>0</v>
      </c>
      <c r="Q36" s="275"/>
      <c r="R36" s="280">
        <v>0</v>
      </c>
      <c r="S36" s="281">
        <f t="shared" si="17"/>
        <v>0</v>
      </c>
      <c r="T36" s="275"/>
      <c r="U36" s="280">
        <v>0</v>
      </c>
      <c r="V36" s="281">
        <f t="shared" si="18"/>
        <v>0</v>
      </c>
      <c r="W36" s="275"/>
      <c r="X36" s="280">
        <v>0</v>
      </c>
      <c r="Y36" s="281">
        <f t="shared" si="19"/>
        <v>0</v>
      </c>
      <c r="Z36" s="275"/>
      <c r="AA36" s="280">
        <v>0</v>
      </c>
      <c r="AB36" s="281">
        <f t="shared" si="20"/>
        <v>0</v>
      </c>
      <c r="AC36" s="275"/>
      <c r="AD36" s="280">
        <v>0</v>
      </c>
      <c r="AE36" s="281">
        <f t="shared" si="21"/>
        <v>0</v>
      </c>
    </row>
    <row r="37" spans="1:31" ht="14.25">
      <c r="A37" s="300" t="s">
        <v>273</v>
      </c>
      <c r="B37" s="274"/>
      <c r="C37" s="276" t="s">
        <v>274</v>
      </c>
      <c r="D37" s="301">
        <f>ROUND(VLOOKUP(A37,'AVERAGE SALARY LOOKUP - Table 1'!$A$3:$E$10004,4,FALSE),0)</f>
        <v>61100</v>
      </c>
      <c r="E37" s="277">
        <f>VLOOKUP(A37,'AVERAGE SALARY LOOKUP - Table 1'!$A$3:$F$700,6,FALSE)</f>
        <v>15832</v>
      </c>
      <c r="F37" s="277">
        <f>VLOOKUP(A37,'AVERAGE SALARY LOOKUP - Table 1'!$A$3:$G$700,7,FALSE)</f>
        <v>19179</v>
      </c>
      <c r="G37" s="302">
        <f t="shared" si="14"/>
        <v>76932</v>
      </c>
      <c r="H37" s="304">
        <f t="shared" si="15"/>
        <v>80279</v>
      </c>
      <c r="I37" s="304">
        <f>G37*(1+Assumptions!E$5)</f>
        <v>76932</v>
      </c>
      <c r="J37" s="304">
        <f>I37*(1+Assumptions!F$5)</f>
        <v>77701.320000000007</v>
      </c>
      <c r="K37" s="304">
        <f>J37*(1+Assumptions!G$5)</f>
        <v>78478.333200000008</v>
      </c>
      <c r="L37" s="304">
        <f>K37*(1+Assumptions!H$5)</f>
        <v>79263.116532000015</v>
      </c>
      <c r="M37" s="304">
        <f>L37*(1+Assumptions!I$5)</f>
        <v>80055.74769732001</v>
      </c>
      <c r="N37" s="275"/>
      <c r="O37" s="287">
        <v>0</v>
      </c>
      <c r="P37" s="288">
        <f t="shared" si="16"/>
        <v>0</v>
      </c>
      <c r="Q37" s="275"/>
      <c r="R37" s="287"/>
      <c r="S37" s="288">
        <f t="shared" si="17"/>
        <v>0</v>
      </c>
      <c r="T37" s="275"/>
      <c r="U37" s="287"/>
      <c r="V37" s="288">
        <f t="shared" si="18"/>
        <v>0</v>
      </c>
      <c r="W37" s="275"/>
      <c r="X37" s="287"/>
      <c r="Y37" s="288">
        <f t="shared" si="19"/>
        <v>0</v>
      </c>
      <c r="Z37" s="275"/>
      <c r="AA37" s="287"/>
      <c r="AB37" s="288">
        <f t="shared" si="20"/>
        <v>0</v>
      </c>
      <c r="AC37" s="275"/>
      <c r="AD37" s="287"/>
      <c r="AE37" s="288">
        <f t="shared" si="21"/>
        <v>0</v>
      </c>
    </row>
    <row r="38" spans="1:31" ht="14.25">
      <c r="A38" s="70"/>
      <c r="B38" s="274"/>
      <c r="C38" s="16" t="s">
        <v>275</v>
      </c>
      <c r="D38" s="305">
        <f>SUM(D22:D37)</f>
        <v>845022</v>
      </c>
      <c r="E38" s="306">
        <f>SUM(E22:E37)</f>
        <v>228412</v>
      </c>
      <c r="F38" s="307">
        <f>SUM(F22:F37)</f>
        <v>265252</v>
      </c>
      <c r="G38" s="305"/>
      <c r="H38" s="308"/>
      <c r="I38" s="294"/>
      <c r="J38" s="294"/>
      <c r="K38" s="294"/>
      <c r="L38" s="294"/>
      <c r="M38" s="294"/>
      <c r="N38" s="113"/>
      <c r="O38" s="295">
        <f>SUM(O22:O37)</f>
        <v>0</v>
      </c>
      <c r="P38" s="296">
        <f>SUM(P22:P37)</f>
        <v>0</v>
      </c>
      <c r="Q38" s="113"/>
      <c r="R38" s="295">
        <f>SUM(R22:R37)</f>
        <v>12.6</v>
      </c>
      <c r="S38" s="296">
        <f>SUM(S22:S37)</f>
        <v>841147</v>
      </c>
      <c r="T38" s="113"/>
      <c r="U38" s="295">
        <f>SUM(U22:U37)</f>
        <v>27.4</v>
      </c>
      <c r="V38" s="296">
        <f>SUM(V22:V37)</f>
        <v>1849096</v>
      </c>
      <c r="W38" s="113"/>
      <c r="X38" s="295">
        <f>SUM(X22:X37)</f>
        <v>37.6</v>
      </c>
      <c r="Y38" s="296">
        <f>SUM(Y22:Y37)</f>
        <v>2557222</v>
      </c>
      <c r="Z38" s="113"/>
      <c r="AA38" s="295">
        <f>SUM(AA22:AA37)</f>
        <v>41.1</v>
      </c>
      <c r="AB38" s="296">
        <f>SUM(AB22:AB37)</f>
        <v>2820593</v>
      </c>
      <c r="AC38" s="113"/>
      <c r="AD38" s="295">
        <f>SUM(AD22:AD37)</f>
        <v>41.1</v>
      </c>
      <c r="AE38" s="296">
        <f>SUM(AE22:AE37)</f>
        <v>2848799</v>
      </c>
    </row>
    <row r="39" spans="1:31" ht="14.25">
      <c r="A39" s="70"/>
      <c r="B39" s="76"/>
      <c r="C39" s="270"/>
      <c r="D39" s="270"/>
      <c r="E39" s="270"/>
      <c r="F39" s="270"/>
      <c r="G39" s="271"/>
      <c r="H39" s="309"/>
      <c r="I39" s="309"/>
      <c r="J39" s="309"/>
      <c r="K39" s="309"/>
      <c r="L39" s="309"/>
      <c r="M39" s="309"/>
      <c r="N39" s="76"/>
      <c r="O39" s="310"/>
      <c r="P39" s="311"/>
      <c r="Q39" s="76"/>
      <c r="R39" s="310"/>
      <c r="S39" s="311"/>
      <c r="T39" s="76"/>
      <c r="U39" s="310"/>
      <c r="V39" s="311"/>
      <c r="W39" s="76"/>
      <c r="X39" s="310"/>
      <c r="Y39" s="311"/>
      <c r="Z39" s="76"/>
      <c r="AA39" s="310"/>
      <c r="AB39" s="311"/>
      <c r="AC39" s="76"/>
      <c r="AD39" s="310"/>
      <c r="AE39" s="311"/>
    </row>
    <row r="40" spans="1:31" ht="14.25">
      <c r="A40" s="70"/>
      <c r="B40" s="274"/>
      <c r="C40" s="633" t="s">
        <v>276</v>
      </c>
      <c r="D40" s="634"/>
      <c r="E40" s="634"/>
      <c r="F40" s="635"/>
      <c r="G40" s="639"/>
      <c r="H40" s="265"/>
      <c r="I40" s="265"/>
      <c r="J40" s="265"/>
      <c r="K40" s="265"/>
      <c r="L40" s="265"/>
      <c r="M40" s="265"/>
      <c r="N40" s="275"/>
      <c r="O40" s="266"/>
      <c r="P40" s="267"/>
      <c r="Q40" s="275"/>
      <c r="R40" s="266"/>
      <c r="S40" s="267"/>
      <c r="T40" s="275"/>
      <c r="U40" s="266"/>
      <c r="V40" s="267"/>
      <c r="W40" s="275"/>
      <c r="X40" s="266"/>
      <c r="Y40" s="267"/>
      <c r="Z40" s="275"/>
      <c r="AA40" s="266"/>
      <c r="AB40" s="267"/>
      <c r="AC40" s="275"/>
      <c r="AD40" s="266"/>
      <c r="AE40" s="267"/>
    </row>
    <row r="41" spans="1:31" ht="14.25">
      <c r="A41" s="300" t="s">
        <v>277</v>
      </c>
      <c r="B41" s="274"/>
      <c r="C41" s="312" t="s">
        <v>278</v>
      </c>
      <c r="D41" s="301">
        <v>33140</v>
      </c>
      <c r="E41" s="277">
        <v>8376</v>
      </c>
      <c r="F41" s="277">
        <v>10403</v>
      </c>
      <c r="G41" s="302">
        <v>41516</v>
      </c>
      <c r="H41" s="303">
        <v>43543</v>
      </c>
      <c r="I41" s="303">
        <f>G41*(1+Assumptions!E$5)</f>
        <v>41516</v>
      </c>
      <c r="J41" s="303">
        <f>I41*(1+Assumptions!F$5)</f>
        <v>41931.160000000003</v>
      </c>
      <c r="K41" s="303">
        <f>J41*(1+Assumptions!G$5)</f>
        <v>42350.471600000004</v>
      </c>
      <c r="L41" s="303">
        <f>K41*(1+Assumptions!H$5)</f>
        <v>42773.976316000008</v>
      </c>
      <c r="M41" s="303">
        <f>L41*(1+Assumptions!I$5)</f>
        <v>43201.716079160011</v>
      </c>
      <c r="N41" s="275"/>
      <c r="O41" s="280">
        <v>0</v>
      </c>
      <c r="P41" s="281">
        <f t="shared" ref="P41:P52" si="24">ROUND(O41*$G41,0)</f>
        <v>0</v>
      </c>
      <c r="Q41" s="275"/>
      <c r="R41" s="280">
        <v>0</v>
      </c>
      <c r="S41" s="281">
        <f t="shared" ref="S41:S52" si="25">ROUND(R41*$I41,0)</f>
        <v>0</v>
      </c>
      <c r="T41" s="275"/>
      <c r="U41" s="280">
        <v>0</v>
      </c>
      <c r="V41" s="281">
        <f t="shared" ref="V41:V52" si="26">ROUND(U41*$J41,0)</f>
        <v>0</v>
      </c>
      <c r="W41" s="275"/>
      <c r="X41" s="280">
        <v>0</v>
      </c>
      <c r="Y41" s="281">
        <f t="shared" ref="Y41:Y52" si="27">ROUND(X41*$K41,0)</f>
        <v>0</v>
      </c>
      <c r="Z41" s="275"/>
      <c r="AA41" s="280">
        <v>0</v>
      </c>
      <c r="AB41" s="281">
        <f t="shared" ref="AB41:AB52" si="28">ROUND(AA41*$L41,0)</f>
        <v>0</v>
      </c>
      <c r="AC41" s="275"/>
      <c r="AD41" s="280">
        <v>0</v>
      </c>
      <c r="AE41" s="281">
        <f t="shared" ref="AE41:AE52" si="29">ROUND(AD41*$M41,0)</f>
        <v>0</v>
      </c>
    </row>
    <row r="42" spans="1:31" ht="14.25">
      <c r="A42" s="300" t="s">
        <v>279</v>
      </c>
      <c r="B42" s="274"/>
      <c r="C42" s="312" t="s">
        <v>280</v>
      </c>
      <c r="D42" s="301">
        <v>36434</v>
      </c>
      <c r="E42" s="277">
        <v>10308</v>
      </c>
      <c r="F42" s="277">
        <v>11437</v>
      </c>
      <c r="G42" s="302">
        <v>46742</v>
      </c>
      <c r="H42" s="303">
        <v>47871</v>
      </c>
      <c r="I42" s="303">
        <f>G42*(1+Assumptions!E$5)</f>
        <v>46742</v>
      </c>
      <c r="J42" s="303">
        <f>I42*(1+Assumptions!F$5)</f>
        <v>47209.42</v>
      </c>
      <c r="K42" s="303">
        <f>J42*(1+Assumptions!G$5)</f>
        <v>47681.514199999998</v>
      </c>
      <c r="L42" s="303">
        <f>K42*(1+Assumptions!H$5)</f>
        <v>48158.329341999997</v>
      </c>
      <c r="M42" s="303">
        <f>L42*(1+Assumptions!I$5)</f>
        <v>48639.912635419998</v>
      </c>
      <c r="N42" s="275"/>
      <c r="O42" s="280">
        <v>0</v>
      </c>
      <c r="P42" s="281">
        <f t="shared" si="24"/>
        <v>0</v>
      </c>
      <c r="Q42" s="275"/>
      <c r="R42" s="280">
        <v>0</v>
      </c>
      <c r="S42" s="281">
        <f t="shared" si="25"/>
        <v>0</v>
      </c>
      <c r="T42" s="275"/>
      <c r="U42" s="280">
        <v>0</v>
      </c>
      <c r="V42" s="281">
        <f t="shared" si="26"/>
        <v>0</v>
      </c>
      <c r="W42" s="275"/>
      <c r="X42" s="280">
        <v>0</v>
      </c>
      <c r="Y42" s="281">
        <f t="shared" si="27"/>
        <v>0</v>
      </c>
      <c r="Z42" s="275"/>
      <c r="AA42" s="280">
        <v>0</v>
      </c>
      <c r="AB42" s="281">
        <f t="shared" si="28"/>
        <v>0</v>
      </c>
      <c r="AC42" s="275"/>
      <c r="AD42" s="280">
        <v>0</v>
      </c>
      <c r="AE42" s="281">
        <f t="shared" si="29"/>
        <v>0</v>
      </c>
    </row>
    <row r="43" spans="1:31" ht="14.25">
      <c r="A43" s="300" t="s">
        <v>281</v>
      </c>
      <c r="B43" s="274"/>
      <c r="C43" s="312" t="s">
        <v>282</v>
      </c>
      <c r="D43" s="301">
        <v>34646</v>
      </c>
      <c r="E43" s="277">
        <v>9990</v>
      </c>
      <c r="F43" s="277">
        <v>10875</v>
      </c>
      <c r="G43" s="302">
        <v>44636</v>
      </c>
      <c r="H43" s="303">
        <v>45521</v>
      </c>
      <c r="I43" s="303">
        <f>G43*(1+Assumptions!E$5)</f>
        <v>44636</v>
      </c>
      <c r="J43" s="303">
        <f>I43*(1+Assumptions!F$5)</f>
        <v>45082.36</v>
      </c>
      <c r="K43" s="303">
        <f>J43*(1+Assumptions!G$5)</f>
        <v>45533.183600000004</v>
      </c>
      <c r="L43" s="303">
        <f>K43*(1+Assumptions!H$5)</f>
        <v>45988.515436000002</v>
      </c>
      <c r="M43" s="303">
        <f>L43*(1+Assumptions!I$5)</f>
        <v>46448.400590360005</v>
      </c>
      <c r="N43" s="275"/>
      <c r="O43" s="280">
        <v>0</v>
      </c>
      <c r="P43" s="281">
        <f t="shared" si="24"/>
        <v>0</v>
      </c>
      <c r="Q43" s="275"/>
      <c r="R43" s="280">
        <v>0</v>
      </c>
      <c r="S43" s="281">
        <f t="shared" si="25"/>
        <v>0</v>
      </c>
      <c r="T43" s="275"/>
      <c r="U43" s="280">
        <v>0</v>
      </c>
      <c r="V43" s="281">
        <f t="shared" si="26"/>
        <v>0</v>
      </c>
      <c r="W43" s="275"/>
      <c r="X43" s="280">
        <v>0</v>
      </c>
      <c r="Y43" s="281">
        <f t="shared" si="27"/>
        <v>0</v>
      </c>
      <c r="Z43" s="275"/>
      <c r="AA43" s="280">
        <v>0</v>
      </c>
      <c r="AB43" s="281">
        <f t="shared" si="28"/>
        <v>0</v>
      </c>
      <c r="AC43" s="275"/>
      <c r="AD43" s="280">
        <v>0</v>
      </c>
      <c r="AE43" s="281">
        <f t="shared" si="29"/>
        <v>0</v>
      </c>
    </row>
    <row r="44" spans="1:31" ht="14.25">
      <c r="A44" s="300" t="s">
        <v>283</v>
      </c>
      <c r="B44" s="274"/>
      <c r="C44" s="312" t="s">
        <v>284</v>
      </c>
      <c r="D44" s="301">
        <v>38256</v>
      </c>
      <c r="E44" s="277">
        <v>10630</v>
      </c>
      <c r="F44" s="277">
        <v>12009</v>
      </c>
      <c r="G44" s="302">
        <v>48886</v>
      </c>
      <c r="H44" s="303">
        <v>50265</v>
      </c>
      <c r="I44" s="303">
        <f>G44*(1+Assumptions!E$5)</f>
        <v>48886</v>
      </c>
      <c r="J44" s="303">
        <f>I44*(1+Assumptions!F$5)</f>
        <v>49374.86</v>
      </c>
      <c r="K44" s="303">
        <f>J44*(1+Assumptions!G$5)</f>
        <v>49868.6086</v>
      </c>
      <c r="L44" s="303">
        <f>K44*(1+Assumptions!H$5)</f>
        <v>50367.294686000001</v>
      </c>
      <c r="M44" s="303">
        <f>L44*(1+Assumptions!I$5)</f>
        <v>50870.967632860004</v>
      </c>
      <c r="N44" s="275"/>
      <c r="O44" s="280">
        <v>0</v>
      </c>
      <c r="P44" s="281">
        <f t="shared" si="24"/>
        <v>0</v>
      </c>
      <c r="Q44" s="275"/>
      <c r="R44" s="558">
        <v>1</v>
      </c>
      <c r="S44" s="281">
        <f t="shared" si="25"/>
        <v>48886</v>
      </c>
      <c r="T44" s="275"/>
      <c r="U44" s="280">
        <v>0</v>
      </c>
      <c r="V44" s="281">
        <f t="shared" si="26"/>
        <v>0</v>
      </c>
      <c r="W44" s="275"/>
      <c r="X44" s="280">
        <v>0</v>
      </c>
      <c r="Y44" s="281">
        <f t="shared" si="27"/>
        <v>0</v>
      </c>
      <c r="Z44" s="275"/>
      <c r="AA44" s="280">
        <v>0</v>
      </c>
      <c r="AB44" s="281">
        <f t="shared" si="28"/>
        <v>0</v>
      </c>
      <c r="AC44" s="275"/>
      <c r="AD44" s="280">
        <v>0</v>
      </c>
      <c r="AE44" s="281">
        <f t="shared" si="29"/>
        <v>0</v>
      </c>
    </row>
    <row r="45" spans="1:31" ht="14.25">
      <c r="A45" s="300" t="s">
        <v>285</v>
      </c>
      <c r="B45" s="274"/>
      <c r="C45" s="312" t="s">
        <v>286</v>
      </c>
      <c r="D45" s="301">
        <v>32748</v>
      </c>
      <c r="E45" s="277">
        <v>9652</v>
      </c>
      <c r="F45" s="277">
        <v>10280</v>
      </c>
      <c r="G45" s="302">
        <v>42400</v>
      </c>
      <c r="H45" s="303">
        <v>43028</v>
      </c>
      <c r="I45" s="303">
        <f>G45*(1+Assumptions!E$5)</f>
        <v>42400</v>
      </c>
      <c r="J45" s="303">
        <f>I45*(1+Assumptions!F$5)</f>
        <v>42824</v>
      </c>
      <c r="K45" s="303">
        <f>J45*(1+Assumptions!G$5)</f>
        <v>43252.24</v>
      </c>
      <c r="L45" s="303">
        <f>K45*(1+Assumptions!H$5)</f>
        <v>43684.7624</v>
      </c>
      <c r="M45" s="303">
        <f>L45*(1+Assumptions!I$5)</f>
        <v>44121.610024000001</v>
      </c>
      <c r="N45" s="275"/>
      <c r="O45" s="280">
        <v>0</v>
      </c>
      <c r="P45" s="281">
        <f t="shared" si="24"/>
        <v>0</v>
      </c>
      <c r="Q45" s="275"/>
      <c r="R45" s="280">
        <v>0</v>
      </c>
      <c r="S45" s="281">
        <f t="shared" si="25"/>
        <v>0</v>
      </c>
      <c r="T45" s="275"/>
      <c r="U45" s="280">
        <v>0</v>
      </c>
      <c r="V45" s="281">
        <f t="shared" si="26"/>
        <v>0</v>
      </c>
      <c r="W45" s="275"/>
      <c r="X45" s="280">
        <v>0</v>
      </c>
      <c r="Y45" s="281">
        <f t="shared" si="27"/>
        <v>0</v>
      </c>
      <c r="Z45" s="275"/>
      <c r="AA45" s="280">
        <v>0</v>
      </c>
      <c r="AB45" s="281">
        <f t="shared" si="28"/>
        <v>0</v>
      </c>
      <c r="AC45" s="275"/>
      <c r="AD45" s="280">
        <v>0</v>
      </c>
      <c r="AE45" s="281">
        <f t="shared" si="29"/>
        <v>0</v>
      </c>
    </row>
    <row r="46" spans="1:31" ht="14.25">
      <c r="A46" s="300" t="s">
        <v>287</v>
      </c>
      <c r="B46" s="274"/>
      <c r="C46" s="312" t="s">
        <v>288</v>
      </c>
      <c r="D46" s="301">
        <v>54330</v>
      </c>
      <c r="E46" s="277">
        <v>13486</v>
      </c>
      <c r="F46" s="277">
        <v>17054</v>
      </c>
      <c r="G46" s="302">
        <v>67816</v>
      </c>
      <c r="H46" s="303">
        <v>71384</v>
      </c>
      <c r="I46" s="303">
        <f>G46*(1+Assumptions!E$5)</f>
        <v>67816</v>
      </c>
      <c r="J46" s="303">
        <f>I46*(1+Assumptions!F$5)</f>
        <v>68494.16</v>
      </c>
      <c r="K46" s="303">
        <f>J46*(1+Assumptions!G$5)</f>
        <v>69179.101600000009</v>
      </c>
      <c r="L46" s="303">
        <f>K46*(1+Assumptions!H$5)</f>
        <v>69870.892616000012</v>
      </c>
      <c r="M46" s="303">
        <f>L46*(1+Assumptions!I$5)</f>
        <v>70569.601542160017</v>
      </c>
      <c r="N46" s="275"/>
      <c r="O46" s="280">
        <v>0</v>
      </c>
      <c r="P46" s="281">
        <f t="shared" si="24"/>
        <v>0</v>
      </c>
      <c r="Q46" s="275"/>
      <c r="R46" s="280">
        <v>0</v>
      </c>
      <c r="S46" s="281">
        <f t="shared" si="25"/>
        <v>0</v>
      </c>
      <c r="T46" s="275"/>
      <c r="U46" s="280">
        <v>0</v>
      </c>
      <c r="V46" s="281">
        <f t="shared" si="26"/>
        <v>0</v>
      </c>
      <c r="W46" s="275"/>
      <c r="X46" s="280">
        <v>0</v>
      </c>
      <c r="Y46" s="281">
        <f t="shared" si="27"/>
        <v>0</v>
      </c>
      <c r="Z46" s="275"/>
      <c r="AA46" s="280">
        <v>0</v>
      </c>
      <c r="AB46" s="281">
        <f t="shared" si="28"/>
        <v>0</v>
      </c>
      <c r="AC46" s="275"/>
      <c r="AD46" s="280">
        <v>0</v>
      </c>
      <c r="AE46" s="281">
        <f t="shared" si="29"/>
        <v>0</v>
      </c>
    </row>
    <row r="47" spans="1:31" ht="14.25">
      <c r="A47" s="300" t="s">
        <v>289</v>
      </c>
      <c r="B47" s="274"/>
      <c r="C47" s="312" t="s">
        <v>290</v>
      </c>
      <c r="D47" s="301">
        <v>29876</v>
      </c>
      <c r="E47" s="277">
        <v>9142</v>
      </c>
      <c r="F47" s="277">
        <v>9378</v>
      </c>
      <c r="G47" s="302">
        <v>39018</v>
      </c>
      <c r="H47" s="303">
        <v>39254</v>
      </c>
      <c r="I47" s="303">
        <f>G47*(1+Assumptions!E$5)</f>
        <v>39018</v>
      </c>
      <c r="J47" s="303">
        <f>I47*(1+Assumptions!F$5)</f>
        <v>39408.18</v>
      </c>
      <c r="K47" s="303">
        <f>J47*(1+Assumptions!G$5)</f>
        <v>39802.2618</v>
      </c>
      <c r="L47" s="303">
        <f>K47*(1+Assumptions!H$5)</f>
        <v>40200.284418000003</v>
      </c>
      <c r="M47" s="303">
        <f>L47*(1+Assumptions!I$5)</f>
        <v>40602.287262180005</v>
      </c>
      <c r="N47" s="275"/>
      <c r="O47" s="280">
        <v>0</v>
      </c>
      <c r="P47" s="281">
        <f t="shared" si="24"/>
        <v>0</v>
      </c>
      <c r="Q47" s="275"/>
      <c r="R47" s="280">
        <v>0</v>
      </c>
      <c r="S47" s="281">
        <f t="shared" si="25"/>
        <v>0</v>
      </c>
      <c r="T47" s="275"/>
      <c r="U47" s="280">
        <v>0</v>
      </c>
      <c r="V47" s="281">
        <f t="shared" si="26"/>
        <v>0</v>
      </c>
      <c r="W47" s="275"/>
      <c r="X47" s="280">
        <v>0</v>
      </c>
      <c r="Y47" s="281">
        <f t="shared" si="27"/>
        <v>0</v>
      </c>
      <c r="Z47" s="275"/>
      <c r="AA47" s="280">
        <v>0</v>
      </c>
      <c r="AB47" s="281">
        <f t="shared" si="28"/>
        <v>0</v>
      </c>
      <c r="AC47" s="275"/>
      <c r="AD47" s="280">
        <v>0</v>
      </c>
      <c r="AE47" s="281">
        <f t="shared" si="29"/>
        <v>0</v>
      </c>
    </row>
    <row r="48" spans="1:31" ht="14.25">
      <c r="A48" s="300" t="s">
        <v>291</v>
      </c>
      <c r="B48" s="274"/>
      <c r="C48" s="312" t="s">
        <v>292</v>
      </c>
      <c r="D48" s="301">
        <v>38530</v>
      </c>
      <c r="E48" s="277">
        <v>10679</v>
      </c>
      <c r="F48" s="277">
        <v>12095</v>
      </c>
      <c r="G48" s="302">
        <v>49209</v>
      </c>
      <c r="H48" s="303">
        <v>50625</v>
      </c>
      <c r="I48" s="303">
        <f>G48*(1+Assumptions!E$5)</f>
        <v>49209</v>
      </c>
      <c r="J48" s="303">
        <f>I48*(1+Assumptions!F$5)</f>
        <v>49701.090000000004</v>
      </c>
      <c r="K48" s="303">
        <f>J48*(1+Assumptions!G$5)</f>
        <v>50198.100900000005</v>
      </c>
      <c r="L48" s="303">
        <f>K48*(1+Assumptions!H$5)</f>
        <v>50700.081909000008</v>
      </c>
      <c r="M48" s="303">
        <f>L48*(1+Assumptions!I$5)</f>
        <v>51207.082728090005</v>
      </c>
      <c r="N48" s="275"/>
      <c r="O48" s="280">
        <v>0</v>
      </c>
      <c r="P48" s="281">
        <f t="shared" si="24"/>
        <v>0</v>
      </c>
      <c r="Q48" s="275"/>
      <c r="R48" s="280">
        <v>0</v>
      </c>
      <c r="S48" s="281">
        <f t="shared" si="25"/>
        <v>0</v>
      </c>
      <c r="T48" s="275"/>
      <c r="U48" s="280">
        <v>0</v>
      </c>
      <c r="V48" s="281">
        <f t="shared" si="26"/>
        <v>0</v>
      </c>
      <c r="W48" s="275"/>
      <c r="X48" s="280">
        <v>0</v>
      </c>
      <c r="Y48" s="281">
        <f t="shared" si="27"/>
        <v>0</v>
      </c>
      <c r="Z48" s="275"/>
      <c r="AA48" s="280">
        <v>0</v>
      </c>
      <c r="AB48" s="281">
        <f t="shared" si="28"/>
        <v>0</v>
      </c>
      <c r="AC48" s="275"/>
      <c r="AD48" s="280">
        <v>0</v>
      </c>
      <c r="AE48" s="281">
        <f t="shared" si="29"/>
        <v>0</v>
      </c>
    </row>
    <row r="49" spans="1:256" ht="14.25">
      <c r="A49" s="300" t="s">
        <v>293</v>
      </c>
      <c r="B49" s="274"/>
      <c r="C49" s="312" t="s">
        <v>294</v>
      </c>
      <c r="D49" s="301">
        <v>47184</v>
      </c>
      <c r="E49" s="277">
        <v>12216</v>
      </c>
      <c r="F49" s="277">
        <v>14811</v>
      </c>
      <c r="G49" s="302">
        <v>59400</v>
      </c>
      <c r="H49" s="303">
        <v>61995</v>
      </c>
      <c r="I49" s="303">
        <f>G49*(1+Assumptions!E$5)</f>
        <v>59400</v>
      </c>
      <c r="J49" s="303">
        <f>I49*(1+Assumptions!F$5)</f>
        <v>59994</v>
      </c>
      <c r="K49" s="303">
        <f>J49*(1+Assumptions!G$5)</f>
        <v>60593.94</v>
      </c>
      <c r="L49" s="303">
        <f>K49*(1+Assumptions!H$5)</f>
        <v>61199.879400000005</v>
      </c>
      <c r="M49" s="303">
        <f>L49*(1+Assumptions!I$5)</f>
        <v>61811.878194000004</v>
      </c>
      <c r="N49" s="275"/>
      <c r="O49" s="280">
        <v>0</v>
      </c>
      <c r="P49" s="281">
        <f t="shared" si="24"/>
        <v>0</v>
      </c>
      <c r="Q49" s="275"/>
      <c r="R49" s="280">
        <v>0</v>
      </c>
      <c r="S49" s="281">
        <f t="shared" si="25"/>
        <v>0</v>
      </c>
      <c r="T49" s="275"/>
      <c r="U49" s="280">
        <v>0</v>
      </c>
      <c r="V49" s="281">
        <f t="shared" si="26"/>
        <v>0</v>
      </c>
      <c r="W49" s="275"/>
      <c r="X49" s="280">
        <v>0</v>
      </c>
      <c r="Y49" s="281">
        <f t="shared" si="27"/>
        <v>0</v>
      </c>
      <c r="Z49" s="275"/>
      <c r="AA49" s="280">
        <v>0</v>
      </c>
      <c r="AB49" s="281">
        <f t="shared" si="28"/>
        <v>0</v>
      </c>
      <c r="AC49" s="275"/>
      <c r="AD49" s="280">
        <v>0</v>
      </c>
      <c r="AE49" s="281">
        <f t="shared" si="29"/>
        <v>0</v>
      </c>
    </row>
    <row r="50" spans="1:256" ht="14.25">
      <c r="A50" s="300" t="s">
        <v>295</v>
      </c>
      <c r="B50" s="274"/>
      <c r="C50" s="312" t="s">
        <v>296</v>
      </c>
      <c r="D50" s="301">
        <v>47798</v>
      </c>
      <c r="E50" s="277">
        <v>12326</v>
      </c>
      <c r="F50" s="277">
        <v>15004</v>
      </c>
      <c r="G50" s="302">
        <v>60124</v>
      </c>
      <c r="H50" s="303">
        <v>62802</v>
      </c>
      <c r="I50" s="303">
        <f>G50*(1+Assumptions!E$5)</f>
        <v>60124</v>
      </c>
      <c r="J50" s="303">
        <f>I50*(1+Assumptions!F$5)</f>
        <v>60725.24</v>
      </c>
      <c r="K50" s="303">
        <f>J50*(1+Assumptions!G$5)</f>
        <v>61332.492399999996</v>
      </c>
      <c r="L50" s="303">
        <f>K50*(1+Assumptions!H$5)</f>
        <v>61945.817323999996</v>
      </c>
      <c r="M50" s="303">
        <f>L50*(1+Assumptions!I$5)</f>
        <v>62565.27549724</v>
      </c>
      <c r="N50" s="275"/>
      <c r="O50" s="280">
        <v>0</v>
      </c>
      <c r="P50" s="281">
        <f t="shared" si="24"/>
        <v>0</v>
      </c>
      <c r="Q50" s="275"/>
      <c r="R50" s="280">
        <v>0</v>
      </c>
      <c r="S50" s="281">
        <f t="shared" si="25"/>
        <v>0</v>
      </c>
      <c r="T50" s="275"/>
      <c r="U50" s="280">
        <v>0</v>
      </c>
      <c r="V50" s="281">
        <f t="shared" si="26"/>
        <v>0</v>
      </c>
      <c r="W50" s="275"/>
      <c r="X50" s="280">
        <v>0</v>
      </c>
      <c r="Y50" s="281">
        <f t="shared" si="27"/>
        <v>0</v>
      </c>
      <c r="Z50" s="275"/>
      <c r="AA50" s="280">
        <v>0</v>
      </c>
      <c r="AB50" s="281">
        <f t="shared" si="28"/>
        <v>0</v>
      </c>
      <c r="AC50" s="275"/>
      <c r="AD50" s="280">
        <v>0</v>
      </c>
      <c r="AE50" s="281">
        <f t="shared" si="29"/>
        <v>0</v>
      </c>
    </row>
    <row r="51" spans="1:256" ht="14.25">
      <c r="A51" s="300" t="s">
        <v>297</v>
      </c>
      <c r="B51" s="274"/>
      <c r="C51" s="312" t="s">
        <v>298</v>
      </c>
      <c r="D51" s="301">
        <v>53572</v>
      </c>
      <c r="E51" s="277">
        <v>13350</v>
      </c>
      <c r="F51" s="277">
        <v>16816</v>
      </c>
      <c r="G51" s="302">
        <v>66922</v>
      </c>
      <c r="H51" s="303">
        <v>70388</v>
      </c>
      <c r="I51" s="303">
        <f>G51*(1+Assumptions!E$5)</f>
        <v>66922</v>
      </c>
      <c r="J51" s="303">
        <f>I51*(1+Assumptions!F$5)</f>
        <v>67591.22</v>
      </c>
      <c r="K51" s="303">
        <f>J51*(1+Assumptions!G$5)</f>
        <v>68267.132200000007</v>
      </c>
      <c r="L51" s="303">
        <f>K51*(1+Assumptions!H$5)</f>
        <v>68949.803522000002</v>
      </c>
      <c r="M51" s="303">
        <f>L51*(1+Assumptions!I$5)</f>
        <v>69639.301557220009</v>
      </c>
      <c r="N51" s="275"/>
      <c r="O51" s="280">
        <v>0</v>
      </c>
      <c r="P51" s="281">
        <f t="shared" si="24"/>
        <v>0</v>
      </c>
      <c r="Q51" s="275"/>
      <c r="R51" s="280">
        <v>0</v>
      </c>
      <c r="S51" s="281">
        <f t="shared" si="25"/>
        <v>0</v>
      </c>
      <c r="T51" s="275"/>
      <c r="U51" s="280">
        <v>0</v>
      </c>
      <c r="V51" s="281">
        <f t="shared" si="26"/>
        <v>0</v>
      </c>
      <c r="W51" s="275"/>
      <c r="X51" s="280">
        <v>0</v>
      </c>
      <c r="Y51" s="281">
        <f t="shared" si="27"/>
        <v>0</v>
      </c>
      <c r="Z51" s="275"/>
      <c r="AA51" s="280">
        <v>0</v>
      </c>
      <c r="AB51" s="281">
        <f t="shared" si="28"/>
        <v>0</v>
      </c>
      <c r="AC51" s="275"/>
      <c r="AD51" s="280">
        <v>0</v>
      </c>
      <c r="AE51" s="281">
        <f t="shared" si="29"/>
        <v>0</v>
      </c>
    </row>
    <row r="52" spans="1:256" ht="14.25">
      <c r="A52" s="300" t="s">
        <v>299</v>
      </c>
      <c r="B52" s="274"/>
      <c r="C52" s="312" t="s">
        <v>300</v>
      </c>
      <c r="D52" s="301">
        <v>62504</v>
      </c>
      <c r="E52" s="277">
        <v>14938</v>
      </c>
      <c r="F52" s="277">
        <v>19620</v>
      </c>
      <c r="G52" s="302">
        <v>77442</v>
      </c>
      <c r="H52" s="303">
        <v>82124</v>
      </c>
      <c r="I52" s="303">
        <f>G52*(1+Assumptions!E$5)</f>
        <v>77442</v>
      </c>
      <c r="J52" s="303">
        <f>I52*(1+Assumptions!F$5)</f>
        <v>78216.42</v>
      </c>
      <c r="K52" s="303">
        <f>J52*(1+Assumptions!G$5)</f>
        <v>78998.584199999998</v>
      </c>
      <c r="L52" s="303">
        <f>K52*(1+Assumptions!H$5)</f>
        <v>79788.570041999992</v>
      </c>
      <c r="M52" s="303">
        <f>L52*(1+Assumptions!I$5)</f>
        <v>80586.455742419988</v>
      </c>
      <c r="N52" s="275"/>
      <c r="O52" s="280">
        <v>0</v>
      </c>
      <c r="P52" s="281">
        <f t="shared" si="24"/>
        <v>0</v>
      </c>
      <c r="Q52" s="275"/>
      <c r="R52" s="280">
        <v>1</v>
      </c>
      <c r="S52" s="281">
        <f t="shared" si="25"/>
        <v>77442</v>
      </c>
      <c r="T52" s="275"/>
      <c r="U52" s="280">
        <v>1</v>
      </c>
      <c r="V52" s="281">
        <f t="shared" si="26"/>
        <v>78216</v>
      </c>
      <c r="W52" s="275"/>
      <c r="X52" s="280">
        <v>1</v>
      </c>
      <c r="Y52" s="281">
        <f t="shared" si="27"/>
        <v>78999</v>
      </c>
      <c r="Z52" s="275"/>
      <c r="AA52" s="280">
        <v>1</v>
      </c>
      <c r="AB52" s="281">
        <f t="shared" si="28"/>
        <v>79789</v>
      </c>
      <c r="AC52" s="275"/>
      <c r="AD52" s="280">
        <v>1</v>
      </c>
      <c r="AE52" s="281">
        <f t="shared" si="29"/>
        <v>80586</v>
      </c>
    </row>
    <row r="53" spans="1:256" s="554" customFormat="1" ht="14.25">
      <c r="A53" s="300"/>
      <c r="B53" s="274"/>
      <c r="C53" s="560" t="s">
        <v>1820</v>
      </c>
      <c r="D53" s="561"/>
      <c r="E53" s="277"/>
      <c r="F53" s="562"/>
      <c r="G53" s="563"/>
      <c r="H53" s="303"/>
      <c r="I53" s="303"/>
      <c r="J53" s="303"/>
      <c r="K53" s="303"/>
      <c r="L53" s="303"/>
      <c r="M53" s="303"/>
      <c r="N53" s="275"/>
      <c r="O53" s="280"/>
      <c r="P53" s="281"/>
      <c r="Q53" s="275"/>
      <c r="R53" s="280"/>
      <c r="S53" s="564">
        <v>637564</v>
      </c>
      <c r="T53" s="275"/>
      <c r="U53" s="280"/>
      <c r="V53" s="564">
        <v>637564</v>
      </c>
      <c r="W53" s="275"/>
      <c r="X53" s="280"/>
      <c r="Y53" s="564">
        <v>637564</v>
      </c>
      <c r="Z53" s="275"/>
      <c r="AA53" s="280"/>
      <c r="AB53" s="564">
        <v>637564</v>
      </c>
      <c r="AC53" s="275"/>
      <c r="AD53" s="280"/>
      <c r="AE53" s="564">
        <v>637564</v>
      </c>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row>
    <row r="54" spans="1:256" s="554" customFormat="1" ht="14.25">
      <c r="A54" s="300"/>
      <c r="B54" s="274"/>
      <c r="C54" s="560" t="s">
        <v>1821</v>
      </c>
      <c r="D54" s="561"/>
      <c r="E54" s="277"/>
      <c r="F54" s="562"/>
      <c r="G54" s="563"/>
      <c r="H54" s="303"/>
      <c r="I54" s="303"/>
      <c r="J54" s="303"/>
      <c r="K54" s="303"/>
      <c r="L54" s="303"/>
      <c r="M54" s="303"/>
      <c r="N54" s="275"/>
      <c r="O54" s="280"/>
      <c r="P54" s="281"/>
      <c r="Q54" s="275"/>
      <c r="R54" s="280"/>
      <c r="S54" s="564">
        <v>87052</v>
      </c>
      <c r="T54" s="275"/>
      <c r="U54" s="280"/>
      <c r="V54" s="564">
        <v>87052</v>
      </c>
      <c r="W54" s="275"/>
      <c r="X54" s="280"/>
      <c r="Y54" s="564">
        <v>87052</v>
      </c>
      <c r="Z54" s="275"/>
      <c r="AA54" s="280"/>
      <c r="AB54" s="564">
        <v>87052</v>
      </c>
      <c r="AC54" s="275"/>
      <c r="AD54" s="280"/>
      <c r="AE54" s="564">
        <v>87052</v>
      </c>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row>
    <row r="55" spans="1:256" ht="14.25">
      <c r="A55" s="70"/>
      <c r="B55" s="274"/>
      <c r="C55" s="16" t="s">
        <v>301</v>
      </c>
      <c r="D55" s="305">
        <f>SUM(D41:D52)</f>
        <v>509018</v>
      </c>
      <c r="E55" s="306">
        <f>SUM(E41:E52)</f>
        <v>135093</v>
      </c>
      <c r="F55" s="307">
        <f>SUM(F41:F52)</f>
        <v>159782</v>
      </c>
      <c r="G55" s="305"/>
      <c r="H55" s="303"/>
      <c r="I55" s="303"/>
      <c r="J55" s="303"/>
      <c r="K55" s="303"/>
      <c r="L55" s="303"/>
      <c r="M55" s="303"/>
      <c r="N55" s="275"/>
      <c r="O55" s="313">
        <f>SUM(O41:O52)</f>
        <v>0</v>
      </c>
      <c r="P55" s="314">
        <f>SUM(P41:P52)</f>
        <v>0</v>
      </c>
      <c r="Q55" s="275"/>
      <c r="R55" s="313">
        <f>SUM(R41:R52)</f>
        <v>2</v>
      </c>
      <c r="S55" s="314">
        <f>SUM(S41:S54)</f>
        <v>850944</v>
      </c>
      <c r="T55" s="275"/>
      <c r="U55" s="313">
        <f>SUM(U41:U52)</f>
        <v>1</v>
      </c>
      <c r="V55" s="314">
        <f>SUM(V41:V54)</f>
        <v>802832</v>
      </c>
      <c r="W55" s="275"/>
      <c r="X55" s="313">
        <f>SUM(X41:X52)</f>
        <v>1</v>
      </c>
      <c r="Y55" s="314">
        <f>SUM(Y41:Y54)</f>
        <v>803615</v>
      </c>
      <c r="Z55" s="275"/>
      <c r="AA55" s="313">
        <f>SUM(AA41:AA52)</f>
        <v>1</v>
      </c>
      <c r="AB55" s="314">
        <f>SUM(AB41:AB54)</f>
        <v>804405</v>
      </c>
      <c r="AC55" s="275"/>
      <c r="AD55" s="313">
        <f>SUM(AD41:AD52)</f>
        <v>1</v>
      </c>
      <c r="AE55" s="314">
        <f>SUM(AE41:AE54)</f>
        <v>805202</v>
      </c>
    </row>
    <row r="56" spans="1:256" ht="14.25">
      <c r="A56" s="70"/>
      <c r="B56" s="76"/>
      <c r="C56" s="270"/>
      <c r="D56" s="270"/>
      <c r="E56" s="270"/>
      <c r="F56" s="270"/>
      <c r="G56" s="270"/>
      <c r="H56" s="270"/>
      <c r="I56" s="270"/>
      <c r="J56" s="270"/>
      <c r="K56" s="270"/>
      <c r="L56" s="270"/>
      <c r="M56" s="270"/>
      <c r="N56" s="76"/>
      <c r="O56" s="272"/>
      <c r="P56" s="273"/>
      <c r="Q56" s="76"/>
      <c r="R56" s="272"/>
      <c r="S56" s="273"/>
      <c r="T56" s="76"/>
      <c r="U56" s="272"/>
      <c r="V56" s="273"/>
      <c r="W56" s="76"/>
      <c r="X56" s="272"/>
      <c r="Y56" s="273"/>
      <c r="Z56" s="76"/>
      <c r="AA56" s="272"/>
      <c r="AB56" s="273"/>
      <c r="AC56" s="76"/>
      <c r="AD56" s="272"/>
      <c r="AE56" s="273"/>
    </row>
    <row r="57" spans="1:256" ht="14.25">
      <c r="A57" s="70"/>
      <c r="B57" s="274"/>
      <c r="C57" s="633" t="s">
        <v>302</v>
      </c>
      <c r="D57" s="634"/>
      <c r="E57" s="634"/>
      <c r="F57" s="634"/>
      <c r="G57" s="635"/>
      <c r="H57" s="265"/>
      <c r="I57" s="265"/>
      <c r="J57" s="265"/>
      <c r="K57" s="265"/>
      <c r="L57" s="265"/>
      <c r="M57" s="265"/>
      <c r="N57" s="275"/>
      <c r="O57" s="266"/>
      <c r="P57" s="267"/>
      <c r="Q57" s="275"/>
      <c r="R57" s="266"/>
      <c r="S57" s="267"/>
      <c r="T57" s="275"/>
      <c r="U57" s="266"/>
      <c r="V57" s="267"/>
      <c r="W57" s="275"/>
      <c r="X57" s="266"/>
      <c r="Y57" s="267"/>
      <c r="Z57" s="275"/>
      <c r="AA57" s="266"/>
      <c r="AB57" s="267"/>
      <c r="AC57" s="275"/>
      <c r="AD57" s="266"/>
      <c r="AE57" s="267"/>
    </row>
    <row r="58" spans="1:256" ht="14.25">
      <c r="A58" s="300" t="str">
        <f>VLOOKUP(Assumptions!C3,Assumptions!$B$48:$F$53,2,FALSE)</f>
        <v>0245</v>
      </c>
      <c r="B58" s="274"/>
      <c r="C58" s="276" t="s">
        <v>45</v>
      </c>
      <c r="D58" s="301">
        <f>ROUND(VLOOKUP(A58,'AVERAGE SALARY LOOKUP - Table 1'!$A$3:$E$10004,4,FALSE),0)</f>
        <v>107470</v>
      </c>
      <c r="E58" s="277">
        <f>VLOOKUP(A58,'AVERAGE SALARY LOOKUP - Table 1'!$A$3:$F$700,6,FALSE)</f>
        <v>22878</v>
      </c>
      <c r="F58" s="277">
        <f>VLOOKUP(A58,'AVERAGE SALARY LOOKUP - Table 1'!$A$3:$G$700,7,FALSE)</f>
        <v>33735</v>
      </c>
      <c r="G58" s="302">
        <f>D58+E58</f>
        <v>130348</v>
      </c>
      <c r="H58" s="303">
        <f>D58+F58</f>
        <v>141205</v>
      </c>
      <c r="I58" s="303">
        <f>G58*(1+Assumptions!E$5)</f>
        <v>130348</v>
      </c>
      <c r="J58" s="303">
        <f>I58*(1+Assumptions!F$5)</f>
        <v>131651.48000000001</v>
      </c>
      <c r="K58" s="303">
        <f>J58*(1+Assumptions!G$5)</f>
        <v>132967.99480000001</v>
      </c>
      <c r="L58" s="303">
        <f>K58*(1+Assumptions!H$5)</f>
        <v>134297.67474800002</v>
      </c>
      <c r="M58" s="303">
        <f>L58*(1+Assumptions!I$5)</f>
        <v>135640.65149548001</v>
      </c>
      <c r="N58" s="275"/>
      <c r="O58" s="280">
        <v>1</v>
      </c>
      <c r="P58" s="281">
        <f t="shared" ref="P58:P61" si="30">ROUND(O58*$G58,0)</f>
        <v>130348</v>
      </c>
      <c r="Q58" s="275"/>
      <c r="R58" s="280">
        <v>1</v>
      </c>
      <c r="S58" s="281">
        <f t="shared" ref="S58:S61" si="31">ROUND(R58*$I58,0)</f>
        <v>130348</v>
      </c>
      <c r="T58" s="275"/>
      <c r="U58" s="280">
        <v>1</v>
      </c>
      <c r="V58" s="281">
        <f t="shared" ref="V58:V61" si="32">ROUND(U58*$J58,0)</f>
        <v>131651</v>
      </c>
      <c r="W58" s="275"/>
      <c r="X58" s="280">
        <v>1</v>
      </c>
      <c r="Y58" s="281">
        <f t="shared" ref="Y58:Y61" si="33">ROUND(X58*$K58,0)</f>
        <v>132968</v>
      </c>
      <c r="Z58" s="275"/>
      <c r="AA58" s="280">
        <v>1</v>
      </c>
      <c r="AB58" s="281">
        <f t="shared" ref="AB58:AB61" si="34">ROUND(AA58*$L58,0)</f>
        <v>134298</v>
      </c>
      <c r="AC58" s="275"/>
      <c r="AD58" s="280">
        <v>1</v>
      </c>
      <c r="AE58" s="281">
        <f t="shared" ref="AE58:AE61" si="35">ROUND(AD58*$M58,0)</f>
        <v>135641</v>
      </c>
    </row>
    <row r="59" spans="1:256" ht="14.25">
      <c r="A59" s="300" t="str">
        <f>VLOOKUP(Assumptions!C3,Assumptions!$B$48:$F$53,3,FALSE)</f>
        <v>0211</v>
      </c>
      <c r="B59" s="274"/>
      <c r="C59" s="276" t="s">
        <v>303</v>
      </c>
      <c r="D59" s="301">
        <f>ROUND(VLOOKUP(A59,'AVERAGE SALARY LOOKUP - Table 1'!$A$3:$E$10004,4,FALSE),0)</f>
        <v>83170</v>
      </c>
      <c r="E59" s="277">
        <f>VLOOKUP(A59,'AVERAGE SALARY LOOKUP - Table 1'!$A$3:$F$700,6,FALSE)</f>
        <v>18562</v>
      </c>
      <c r="F59" s="277">
        <f>VLOOKUP(A59,'AVERAGE SALARY LOOKUP - Table 1'!$A$3:$G$700,7,FALSE)</f>
        <v>26107</v>
      </c>
      <c r="G59" s="302">
        <f>D59+E59</f>
        <v>101732</v>
      </c>
      <c r="H59" s="303">
        <f>D59+F59</f>
        <v>109277</v>
      </c>
      <c r="I59" s="303">
        <f>G59*(1+Assumptions!E$5)</f>
        <v>101732</v>
      </c>
      <c r="J59" s="303">
        <f>I59*(1+Assumptions!F$5)</f>
        <v>102749.32</v>
      </c>
      <c r="K59" s="303">
        <f>J59*(1+Assumptions!G$5)</f>
        <v>103776.8132</v>
      </c>
      <c r="L59" s="303">
        <f>K59*(1+Assumptions!H$5)</f>
        <v>104814.581332</v>
      </c>
      <c r="M59" s="303">
        <f>L59*(1+Assumptions!I$5)</f>
        <v>105862.72714532001</v>
      </c>
      <c r="N59" s="275"/>
      <c r="O59" s="280">
        <v>0</v>
      </c>
      <c r="P59" s="281">
        <f t="shared" si="30"/>
        <v>0</v>
      </c>
      <c r="Q59" s="275"/>
      <c r="R59" s="280">
        <v>1</v>
      </c>
      <c r="S59" s="281">
        <f t="shared" si="31"/>
        <v>101732</v>
      </c>
      <c r="T59" s="275"/>
      <c r="U59" s="280">
        <v>1</v>
      </c>
      <c r="V59" s="281">
        <f t="shared" si="32"/>
        <v>102749</v>
      </c>
      <c r="W59" s="275"/>
      <c r="X59" s="280">
        <v>1</v>
      </c>
      <c r="Y59" s="281">
        <f t="shared" si="33"/>
        <v>103777</v>
      </c>
      <c r="Z59" s="275"/>
      <c r="AA59" s="280">
        <v>1</v>
      </c>
      <c r="AB59" s="281">
        <f t="shared" si="34"/>
        <v>104815</v>
      </c>
      <c r="AC59" s="275"/>
      <c r="AD59" s="280">
        <v>1</v>
      </c>
      <c r="AE59" s="281">
        <f t="shared" si="35"/>
        <v>105863</v>
      </c>
    </row>
    <row r="60" spans="1:256" ht="14.25">
      <c r="A60" s="300" t="str">
        <f>VLOOKUP(Assumptions!C3,Assumptions!$B$48:$F$53,4,FALSE)</f>
        <v>0617</v>
      </c>
      <c r="B60" s="274"/>
      <c r="C60" s="276" t="s">
        <v>304</v>
      </c>
      <c r="D60" s="301">
        <f>ROUND(VLOOKUP(A60,'AVERAGE SALARY LOOKUP - Table 1'!$A$3:$E$10004,4,FALSE),0)</f>
        <v>72268</v>
      </c>
      <c r="E60" s="277">
        <f>VLOOKUP(A60,'AVERAGE SALARY LOOKUP - Table 1'!$A$3:$F$700,6,FALSE)</f>
        <v>16626</v>
      </c>
      <c r="F60" s="277">
        <f>VLOOKUP(A60,'AVERAGE SALARY LOOKUP - Table 1'!$A$3:$G$700,7,FALSE)</f>
        <v>22685</v>
      </c>
      <c r="G60" s="302">
        <f>D60+E60</f>
        <v>88894</v>
      </c>
      <c r="H60" s="303">
        <f>D60+F60</f>
        <v>94953</v>
      </c>
      <c r="I60" s="303">
        <f>G60*(1+Assumptions!E$5)</f>
        <v>88894</v>
      </c>
      <c r="J60" s="303">
        <f>I60*(1+Assumptions!F$5)</f>
        <v>89782.94</v>
      </c>
      <c r="K60" s="303">
        <f>J60*(1+Assumptions!G$5)</f>
        <v>90680.769400000005</v>
      </c>
      <c r="L60" s="303">
        <f>K60*(1+Assumptions!H$5)</f>
        <v>91587.577094000007</v>
      </c>
      <c r="M60" s="303">
        <f>L60*(1+Assumptions!I$5)</f>
        <v>92503.452864940002</v>
      </c>
      <c r="N60" s="275"/>
      <c r="O60" s="280">
        <v>0</v>
      </c>
      <c r="P60" s="281">
        <f t="shared" si="30"/>
        <v>0</v>
      </c>
      <c r="Q60" s="275"/>
      <c r="R60" s="280">
        <v>0</v>
      </c>
      <c r="S60" s="281">
        <f t="shared" si="31"/>
        <v>0</v>
      </c>
      <c r="T60" s="275"/>
      <c r="U60" s="280"/>
      <c r="V60" s="281">
        <f t="shared" si="32"/>
        <v>0</v>
      </c>
      <c r="W60" s="275"/>
      <c r="X60" s="280"/>
      <c r="Y60" s="281">
        <f t="shared" si="33"/>
        <v>0</v>
      </c>
      <c r="Z60" s="275"/>
      <c r="AA60" s="280"/>
      <c r="AB60" s="281">
        <f t="shared" si="34"/>
        <v>0</v>
      </c>
      <c r="AC60" s="275"/>
      <c r="AD60" s="280"/>
      <c r="AE60" s="281">
        <f t="shared" si="35"/>
        <v>0</v>
      </c>
    </row>
    <row r="61" spans="1:256" ht="14.25">
      <c r="A61" s="300" t="str">
        <f>VLOOKUP(Assumptions!C3,Assumptions!$B$48:$F$53,5,FALSE)</f>
        <v>0727</v>
      </c>
      <c r="B61" s="274"/>
      <c r="C61" s="276" t="s">
        <v>48</v>
      </c>
      <c r="D61" s="301">
        <f>ROUND(VLOOKUP(A61,'AVERAGE SALARY LOOKUP - Table 1'!$A$3:$E$10004,4,FALSE),0)</f>
        <v>51688</v>
      </c>
      <c r="E61" s="277">
        <f>VLOOKUP(A61,'AVERAGE SALARY LOOKUP - Table 1'!$A$3:$F$700,6,FALSE)</f>
        <v>12970</v>
      </c>
      <c r="F61" s="277">
        <f>VLOOKUP(A61,'AVERAGE SALARY LOOKUP - Table 1'!$A$3:$G$700,7,FALSE)</f>
        <v>16225</v>
      </c>
      <c r="G61" s="302">
        <f>D61+E61</f>
        <v>64658</v>
      </c>
      <c r="H61" s="303">
        <f>D61+F61</f>
        <v>67913</v>
      </c>
      <c r="I61" s="303">
        <f>G61*(1+Assumptions!E$5)</f>
        <v>64658</v>
      </c>
      <c r="J61" s="303">
        <f>I61*(1+Assumptions!F$5)</f>
        <v>65304.58</v>
      </c>
      <c r="K61" s="303">
        <f>J61*(1+Assumptions!G$5)</f>
        <v>65957.625800000009</v>
      </c>
      <c r="L61" s="303">
        <f>K61*(1+Assumptions!H$5)</f>
        <v>66617.20205800001</v>
      </c>
      <c r="M61" s="303">
        <f>L61*(1+Assumptions!I$5)</f>
        <v>67283.374078580004</v>
      </c>
      <c r="N61" s="275"/>
      <c r="O61" s="280">
        <v>0.5</v>
      </c>
      <c r="P61" s="281">
        <f t="shared" si="30"/>
        <v>32329</v>
      </c>
      <c r="Q61" s="275"/>
      <c r="R61" s="280">
        <v>1</v>
      </c>
      <c r="S61" s="281">
        <f t="shared" si="31"/>
        <v>64658</v>
      </c>
      <c r="T61" s="275"/>
      <c r="U61" s="280">
        <v>1</v>
      </c>
      <c r="V61" s="281">
        <f t="shared" si="32"/>
        <v>65305</v>
      </c>
      <c r="W61" s="275"/>
      <c r="X61" s="280">
        <v>1</v>
      </c>
      <c r="Y61" s="281">
        <f t="shared" si="33"/>
        <v>65958</v>
      </c>
      <c r="Z61" s="275"/>
      <c r="AA61" s="280">
        <v>1</v>
      </c>
      <c r="AB61" s="281">
        <f t="shared" si="34"/>
        <v>66617</v>
      </c>
      <c r="AC61" s="275"/>
      <c r="AD61" s="280">
        <v>1</v>
      </c>
      <c r="AE61" s="281">
        <f t="shared" si="35"/>
        <v>67283</v>
      </c>
    </row>
    <row r="62" spans="1:256" ht="14.25">
      <c r="A62" s="70"/>
      <c r="B62" s="274"/>
      <c r="C62" s="16" t="s">
        <v>305</v>
      </c>
      <c r="D62" s="305">
        <f>SUM(D58:D61)</f>
        <v>314596</v>
      </c>
      <c r="E62" s="306">
        <f>SUM(E58:E61)</f>
        <v>71036</v>
      </c>
      <c r="F62" s="307">
        <f>SUM(F58:F61)</f>
        <v>98752</v>
      </c>
      <c r="G62" s="305"/>
      <c r="H62" s="303"/>
      <c r="I62" s="303"/>
      <c r="J62" s="303"/>
      <c r="K62" s="303"/>
      <c r="L62" s="303"/>
      <c r="M62" s="303"/>
      <c r="N62" s="275"/>
      <c r="O62" s="313">
        <f>SUM(O58:O61)</f>
        <v>1.5</v>
      </c>
      <c r="P62" s="314">
        <f>SUM(P58:P61)</f>
        <v>162677</v>
      </c>
      <c r="Q62" s="275"/>
      <c r="R62" s="313">
        <f>SUM(R58:R61)</f>
        <v>3</v>
      </c>
      <c r="S62" s="314">
        <f>SUM(S58:S61)</f>
        <v>296738</v>
      </c>
      <c r="T62" s="275"/>
      <c r="U62" s="313">
        <f>SUM(U58:U61)</f>
        <v>3</v>
      </c>
      <c r="V62" s="314">
        <f>SUM(V58:V61)</f>
        <v>299705</v>
      </c>
      <c r="W62" s="275"/>
      <c r="X62" s="313">
        <f>SUM(X58:X61)</f>
        <v>3</v>
      </c>
      <c r="Y62" s="314">
        <f>SUM(Y58:Y61)</f>
        <v>302703</v>
      </c>
      <c r="Z62" s="275"/>
      <c r="AA62" s="313">
        <f>SUM(AA58:AA61)</f>
        <v>3</v>
      </c>
      <c r="AB62" s="314">
        <f>SUM(AB58:AB61)</f>
        <v>305730</v>
      </c>
      <c r="AC62" s="275"/>
      <c r="AD62" s="313">
        <f>SUM(AD58:AD61)</f>
        <v>3</v>
      </c>
      <c r="AE62" s="314">
        <f>SUM(AE58:AE61)</f>
        <v>308787</v>
      </c>
    </row>
    <row r="63" spans="1:256" ht="14.25">
      <c r="A63" s="70"/>
      <c r="B63" s="76"/>
      <c r="C63" s="270"/>
      <c r="D63" s="270"/>
      <c r="E63" s="270"/>
      <c r="F63" s="270"/>
      <c r="G63" s="270"/>
      <c r="H63" s="270"/>
      <c r="I63" s="270"/>
      <c r="J63" s="270"/>
      <c r="K63" s="270"/>
      <c r="L63" s="270"/>
      <c r="M63" s="270"/>
      <c r="N63" s="76"/>
      <c r="O63" s="272"/>
      <c r="P63" s="273"/>
      <c r="Q63" s="76"/>
      <c r="R63" s="272"/>
      <c r="S63" s="273"/>
      <c r="T63" s="76"/>
      <c r="U63" s="272"/>
      <c r="V63" s="273"/>
      <c r="W63" s="76"/>
      <c r="X63" s="272"/>
      <c r="Y63" s="273"/>
      <c r="Z63" s="76"/>
      <c r="AA63" s="272"/>
      <c r="AB63" s="273"/>
      <c r="AC63" s="76"/>
      <c r="AD63" s="272"/>
      <c r="AE63" s="273"/>
    </row>
    <row r="64" spans="1:256" ht="14.25">
      <c r="A64" s="70"/>
      <c r="B64" s="274"/>
      <c r="C64" s="633" t="s">
        <v>306</v>
      </c>
      <c r="D64" s="634"/>
      <c r="E64" s="634"/>
      <c r="F64" s="634"/>
      <c r="G64" s="635"/>
      <c r="H64" s="265"/>
      <c r="I64" s="265"/>
      <c r="J64" s="265"/>
      <c r="K64" s="265"/>
      <c r="L64" s="265"/>
      <c r="M64" s="265"/>
      <c r="N64" s="275"/>
      <c r="O64" s="266"/>
      <c r="P64" s="267"/>
      <c r="Q64" s="275"/>
      <c r="R64" s="266"/>
      <c r="S64" s="267"/>
      <c r="T64" s="275"/>
      <c r="U64" s="266"/>
      <c r="V64" s="267"/>
      <c r="W64" s="275"/>
      <c r="X64" s="266"/>
      <c r="Y64" s="267"/>
      <c r="Z64" s="275"/>
      <c r="AA64" s="266"/>
      <c r="AB64" s="267"/>
      <c r="AC64" s="275"/>
      <c r="AD64" s="266"/>
      <c r="AE64" s="267"/>
    </row>
    <row r="65" spans="1:31" ht="14.25">
      <c r="A65" s="300" t="s">
        <v>307</v>
      </c>
      <c r="B65" s="274"/>
      <c r="C65" s="276" t="s">
        <v>308</v>
      </c>
      <c r="D65" s="301">
        <f>ROUND(VLOOKUP(A65,'AVERAGE SALARY LOOKUP - Table 1'!$A$3:$E$10004,4,FALSE),0)</f>
        <v>25900</v>
      </c>
      <c r="E65" s="277">
        <f>VLOOKUP(A65,'AVERAGE SALARY LOOKUP - Table 1'!$A$3:$F$700,6,FALSE)</f>
        <v>8476</v>
      </c>
      <c r="F65" s="277">
        <f>VLOOKUP(A65,'AVERAGE SALARY LOOKUP - Table 1'!$A$3:$G$700,7,FALSE)</f>
        <v>8130</v>
      </c>
      <c r="G65" s="302">
        <f t="shared" ref="G65:G76" si="36">D65+E65</f>
        <v>34376</v>
      </c>
      <c r="H65" s="303">
        <f t="shared" ref="H65:H76" si="37">D65+F65</f>
        <v>34030</v>
      </c>
      <c r="I65" s="303">
        <f>G65*(1+Assumptions!E$5)</f>
        <v>34376</v>
      </c>
      <c r="J65" s="303">
        <f>I65*(1+Assumptions!F$5)</f>
        <v>34719.760000000002</v>
      </c>
      <c r="K65" s="303">
        <f>J65*(1+Assumptions!G$5)</f>
        <v>35066.957600000002</v>
      </c>
      <c r="L65" s="303">
        <f>K65*(1+Assumptions!H$5)</f>
        <v>35417.627176000002</v>
      </c>
      <c r="M65" s="303">
        <f>L65*(1+Assumptions!I$5)</f>
        <v>35771.803447760001</v>
      </c>
      <c r="N65" s="275"/>
      <c r="O65" s="280">
        <v>0</v>
      </c>
      <c r="P65" s="281">
        <f t="shared" ref="P65:P76" si="38">ROUND(O65*$G65,0)</f>
        <v>0</v>
      </c>
      <c r="Q65" s="275"/>
      <c r="R65" s="280"/>
      <c r="S65" s="281">
        <f t="shared" ref="S65:S76" si="39">ROUND(R65*$I65,0)</f>
        <v>0</v>
      </c>
      <c r="T65" s="275"/>
      <c r="U65" s="280"/>
      <c r="V65" s="281">
        <f t="shared" ref="V65:V76" si="40">ROUND(U65*$J65,0)</f>
        <v>0</v>
      </c>
      <c r="W65" s="275"/>
      <c r="X65" s="280"/>
      <c r="Y65" s="281">
        <f t="shared" ref="Y65:Y76" si="41">ROUND(X65*$K65,0)</f>
        <v>0</v>
      </c>
      <c r="Z65" s="275"/>
      <c r="AA65" s="280"/>
      <c r="AB65" s="281">
        <f t="shared" ref="AB65:AB76" si="42">ROUND(AA65*$L65,0)</f>
        <v>0</v>
      </c>
      <c r="AC65" s="275"/>
      <c r="AD65" s="280"/>
      <c r="AE65" s="281">
        <f t="shared" ref="AE65:AE76" si="43">ROUND(AD65*$M65,0)</f>
        <v>0</v>
      </c>
    </row>
    <row r="66" spans="1:31" ht="14.25">
      <c r="A66" s="300" t="s">
        <v>309</v>
      </c>
      <c r="B66" s="274"/>
      <c r="C66" s="276" t="s">
        <v>310</v>
      </c>
      <c r="D66" s="301">
        <f>ROUND(VLOOKUP(A66,'AVERAGE SALARY LOOKUP - Table 1'!$A$3:$E$10004,4,FALSE),0)</f>
        <v>30592</v>
      </c>
      <c r="E66" s="277">
        <f>VLOOKUP(A66,'AVERAGE SALARY LOOKUP - Table 1'!$A$3:$F$700,6,FALSE)</f>
        <v>9310</v>
      </c>
      <c r="F66" s="277">
        <f>VLOOKUP(A66,'AVERAGE SALARY LOOKUP - Table 1'!$A$3:$G$700,7,FALSE)</f>
        <v>9603</v>
      </c>
      <c r="G66" s="302">
        <f>D66+E66</f>
        <v>39902</v>
      </c>
      <c r="H66" s="303">
        <f>D66+F66</f>
        <v>40195</v>
      </c>
      <c r="I66" s="303">
        <f>G66*(1+Assumptions!E$5)</f>
        <v>39902</v>
      </c>
      <c r="J66" s="303">
        <f>I66*(1+Assumptions!F$5)</f>
        <v>40301.019999999997</v>
      </c>
      <c r="K66" s="303">
        <f>J66*(1+Assumptions!G$5)</f>
        <v>40704.030199999994</v>
      </c>
      <c r="L66" s="303">
        <f>K66*(1+Assumptions!H$5)</f>
        <v>41111.070501999995</v>
      </c>
      <c r="M66" s="303">
        <f>L66*(1+Assumptions!I$5)</f>
        <v>41522.181207019996</v>
      </c>
      <c r="N66" s="275"/>
      <c r="O66" s="280">
        <v>0</v>
      </c>
      <c r="P66" s="281">
        <f>ROUND(O66*$G66,0)</f>
        <v>0</v>
      </c>
      <c r="Q66" s="275"/>
      <c r="R66" s="280"/>
      <c r="S66" s="281">
        <f>ROUND(R66*$I66,0)</f>
        <v>0</v>
      </c>
      <c r="T66" s="275"/>
      <c r="U66" s="280"/>
      <c r="V66" s="281">
        <f>ROUND(U66*$J66,0)</f>
        <v>0</v>
      </c>
      <c r="W66" s="275"/>
      <c r="X66" s="280"/>
      <c r="Y66" s="281">
        <f>ROUND(X66*$K66,0)</f>
        <v>0</v>
      </c>
      <c r="Z66" s="275"/>
      <c r="AA66" s="280"/>
      <c r="AB66" s="281">
        <f>ROUND(AA66*$L66,0)</f>
        <v>0</v>
      </c>
      <c r="AC66" s="275"/>
      <c r="AD66" s="280"/>
      <c r="AE66" s="281">
        <f>ROUND(AD66*$M66,0)</f>
        <v>0</v>
      </c>
    </row>
    <row r="67" spans="1:31" ht="14.25">
      <c r="A67" s="300" t="s">
        <v>311</v>
      </c>
      <c r="B67" s="274"/>
      <c r="C67" s="276" t="s">
        <v>312</v>
      </c>
      <c r="D67" s="301">
        <f>ROUND(VLOOKUP(A67,'AVERAGE SALARY LOOKUP - Table 1'!$A$3:$E$10004,4,FALSE),0)</f>
        <v>25224</v>
      </c>
      <c r="E67" s="277">
        <f>VLOOKUP(A67,'AVERAGE SALARY LOOKUP - Table 1'!$A$3:$F$700,6,FALSE)</f>
        <v>8356</v>
      </c>
      <c r="F67" s="277">
        <f>VLOOKUP(A67,'AVERAGE SALARY LOOKUP - Table 1'!$A$3:$G$700,7,FALSE)</f>
        <v>7918</v>
      </c>
      <c r="G67" s="302">
        <f>D67+E67</f>
        <v>33580</v>
      </c>
      <c r="H67" s="303">
        <f>D67+F67</f>
        <v>33142</v>
      </c>
      <c r="I67" s="303">
        <f>G67*(1+Assumptions!E$5)</f>
        <v>33580</v>
      </c>
      <c r="J67" s="303">
        <f>I67*(1+Assumptions!F$5)</f>
        <v>33915.800000000003</v>
      </c>
      <c r="K67" s="303">
        <f>J67*(1+Assumptions!G$5)</f>
        <v>34254.958000000006</v>
      </c>
      <c r="L67" s="303">
        <f>K67*(1+Assumptions!H$5)</f>
        <v>34597.507580000005</v>
      </c>
      <c r="M67" s="303">
        <f>L67*(1+Assumptions!I$5)</f>
        <v>34943.482655800006</v>
      </c>
      <c r="N67" s="275"/>
      <c r="O67" s="280">
        <v>0</v>
      </c>
      <c r="P67" s="281">
        <f>ROUND(O67*$G67,0)</f>
        <v>0</v>
      </c>
      <c r="Q67" s="275"/>
      <c r="R67" s="280"/>
      <c r="S67" s="281">
        <f>ROUND(R67*$I67,0)</f>
        <v>0</v>
      </c>
      <c r="T67" s="275"/>
      <c r="U67" s="280"/>
      <c r="V67" s="281">
        <f>ROUND(U67*$J67,0)</f>
        <v>0</v>
      </c>
      <c r="W67" s="275"/>
      <c r="X67" s="280"/>
      <c r="Y67" s="281">
        <f>ROUND(X67*$K67,0)</f>
        <v>0</v>
      </c>
      <c r="Z67" s="275"/>
      <c r="AA67" s="280"/>
      <c r="AB67" s="281">
        <f>ROUND(AA67*$L67,0)</f>
        <v>0</v>
      </c>
      <c r="AC67" s="275"/>
      <c r="AD67" s="280">
        <v>0</v>
      </c>
      <c r="AE67" s="281">
        <f>ROUND(AD67*$M67,0)</f>
        <v>0</v>
      </c>
    </row>
    <row r="68" spans="1:31" ht="14.25">
      <c r="A68" s="300" t="s">
        <v>313</v>
      </c>
      <c r="B68" s="274"/>
      <c r="C68" s="276" t="s">
        <v>314</v>
      </c>
      <c r="D68" s="301">
        <f>ROUND(VLOOKUP(A68,'AVERAGE SALARY LOOKUP - Table 1'!$A$3:$E$10004,4,FALSE),0)</f>
        <v>21642</v>
      </c>
      <c r="E68" s="277">
        <f>VLOOKUP(A68,'AVERAGE SALARY LOOKUP - Table 1'!$A$3:$F$700,6,FALSE)</f>
        <v>7720</v>
      </c>
      <c r="F68" s="277">
        <f>VLOOKUP(A68,'AVERAGE SALARY LOOKUP - Table 1'!$A$3:$G$700,7,FALSE)</f>
        <v>6793</v>
      </c>
      <c r="G68" s="302">
        <f>D68+E68</f>
        <v>29362</v>
      </c>
      <c r="H68" s="303">
        <f>D68+F68</f>
        <v>28435</v>
      </c>
      <c r="I68" s="303">
        <f>G68*(1+Assumptions!E$5)</f>
        <v>29362</v>
      </c>
      <c r="J68" s="303">
        <f>I68*(1+Assumptions!F$5)</f>
        <v>29655.62</v>
      </c>
      <c r="K68" s="303">
        <f>J68*(1+Assumptions!G$5)</f>
        <v>29952.176199999998</v>
      </c>
      <c r="L68" s="303">
        <f>K68*(1+Assumptions!H$5)</f>
        <v>30251.697961999998</v>
      </c>
      <c r="M68" s="303">
        <f>L68*(1+Assumptions!I$5)</f>
        <v>30554.214941619997</v>
      </c>
      <c r="N68" s="275"/>
      <c r="O68" s="280">
        <v>0</v>
      </c>
      <c r="P68" s="281">
        <f>ROUND(O68*$G68,0)</f>
        <v>0</v>
      </c>
      <c r="Q68" s="275"/>
      <c r="R68" s="280">
        <v>0</v>
      </c>
      <c r="S68" s="281">
        <f>ROUND(R68*$I68,0)</f>
        <v>0</v>
      </c>
      <c r="T68" s="275"/>
      <c r="U68" s="280"/>
      <c r="V68" s="281">
        <f>ROUND(U68*$J68,0)</f>
        <v>0</v>
      </c>
      <c r="W68" s="275"/>
      <c r="X68" s="280">
        <v>0</v>
      </c>
      <c r="Y68" s="281">
        <f>ROUND(X68*$K68,0)</f>
        <v>0</v>
      </c>
      <c r="Z68" s="275"/>
      <c r="AA68" s="280">
        <v>0</v>
      </c>
      <c r="AB68" s="281">
        <f>ROUND(AA68*$L68,0)</f>
        <v>0</v>
      </c>
      <c r="AC68" s="275"/>
      <c r="AD68" s="280">
        <v>0</v>
      </c>
      <c r="AE68" s="281">
        <f>ROUND(AD68*$M68,0)</f>
        <v>0</v>
      </c>
    </row>
    <row r="69" spans="1:31" ht="14.25">
      <c r="A69" s="300" t="s">
        <v>315</v>
      </c>
      <c r="B69" s="274"/>
      <c r="C69" s="276" t="s">
        <v>316</v>
      </c>
      <c r="D69" s="301">
        <f>ROUND(VLOOKUP(A69,'AVERAGE SALARY LOOKUP - Table 1'!$A$3:$E$10004,4,FALSE),0)</f>
        <v>30853</v>
      </c>
      <c r="E69" s="277">
        <f>VLOOKUP(A69,'AVERAGE SALARY LOOKUP - Table 1'!$A$3:$F$700,6,FALSE)</f>
        <v>9356</v>
      </c>
      <c r="F69" s="277">
        <f>VLOOKUP(A69,'AVERAGE SALARY LOOKUP - Table 1'!$A$3:$G$700,7,FALSE)</f>
        <v>9685</v>
      </c>
      <c r="G69" s="302">
        <f>D69+E69</f>
        <v>40209</v>
      </c>
      <c r="H69" s="303">
        <f>D69+F69</f>
        <v>40538</v>
      </c>
      <c r="I69" s="303">
        <f>G69*(1+Assumptions!E$5)</f>
        <v>40209</v>
      </c>
      <c r="J69" s="303">
        <f>I69*(1+Assumptions!F$5)</f>
        <v>40611.090000000004</v>
      </c>
      <c r="K69" s="303">
        <f>J69*(1+Assumptions!G$5)</f>
        <v>41017.200900000003</v>
      </c>
      <c r="L69" s="303">
        <f>K69*(1+Assumptions!H$5)</f>
        <v>41427.372909000005</v>
      </c>
      <c r="M69" s="303">
        <f>L69*(1+Assumptions!I$5)</f>
        <v>41841.646638090009</v>
      </c>
      <c r="N69" s="275"/>
      <c r="O69" s="280">
        <v>0</v>
      </c>
      <c r="P69" s="281">
        <f>ROUND(O69*$G69,0)</f>
        <v>0</v>
      </c>
      <c r="Q69" s="275"/>
      <c r="R69" s="280">
        <v>0</v>
      </c>
      <c r="S69" s="281">
        <f>ROUND(R69*$I69,0)</f>
        <v>0</v>
      </c>
      <c r="T69" s="275"/>
      <c r="U69" s="280">
        <v>0</v>
      </c>
      <c r="V69" s="281">
        <f>ROUND(U69*$J69,0)</f>
        <v>0</v>
      </c>
      <c r="W69" s="275"/>
      <c r="X69" s="280">
        <v>0</v>
      </c>
      <c r="Y69" s="281">
        <f>ROUND(X69*$K69,0)</f>
        <v>0</v>
      </c>
      <c r="Z69" s="275"/>
      <c r="AA69" s="280">
        <v>0</v>
      </c>
      <c r="AB69" s="281">
        <f>ROUND(AA69*$L69,0)</f>
        <v>0</v>
      </c>
      <c r="AC69" s="275"/>
      <c r="AD69" s="280">
        <v>0</v>
      </c>
      <c r="AE69" s="281">
        <f>ROUND(AD69*$M69,0)</f>
        <v>0</v>
      </c>
    </row>
    <row r="70" spans="1:31" ht="14.25">
      <c r="A70" s="300" t="s">
        <v>317</v>
      </c>
      <c r="B70" s="274"/>
      <c r="C70" s="276" t="s">
        <v>318</v>
      </c>
      <c r="D70" s="301">
        <f>ROUND(VLOOKUP(A70,'AVERAGE SALARY LOOKUP - Table 1'!$A$3:$E$10004,4,FALSE),0)</f>
        <v>32922</v>
      </c>
      <c r="E70" s="277">
        <f>VLOOKUP(A70,'AVERAGE SALARY LOOKUP - Table 1'!$A$3:$F$700,6,FALSE)</f>
        <v>9724</v>
      </c>
      <c r="F70" s="277">
        <f>VLOOKUP(A70,'AVERAGE SALARY LOOKUP - Table 1'!$A$3:$G$700,7,FALSE)</f>
        <v>10334</v>
      </c>
      <c r="G70" s="302">
        <f>D70+E70</f>
        <v>42646</v>
      </c>
      <c r="H70" s="303">
        <f>D70+F70</f>
        <v>43256</v>
      </c>
      <c r="I70" s="303">
        <f>G70*(1+Assumptions!E$5)</f>
        <v>42646</v>
      </c>
      <c r="J70" s="303">
        <f>I70*(1+Assumptions!F$5)</f>
        <v>43072.46</v>
      </c>
      <c r="K70" s="303">
        <f>J70*(1+Assumptions!G$5)</f>
        <v>43503.184600000001</v>
      </c>
      <c r="L70" s="303">
        <f>K70*(1+Assumptions!H$5)</f>
        <v>43938.216445999999</v>
      </c>
      <c r="M70" s="303">
        <f>L70*(1+Assumptions!I$5)</f>
        <v>44377.598610460002</v>
      </c>
      <c r="N70" s="275"/>
      <c r="O70" s="280">
        <v>0</v>
      </c>
      <c r="P70" s="281">
        <f>ROUND(O70*$G70,0)</f>
        <v>0</v>
      </c>
      <c r="Q70" s="275"/>
      <c r="R70" s="280">
        <v>0</v>
      </c>
      <c r="S70" s="281">
        <f>ROUND(R70*$I70,0)</f>
        <v>0</v>
      </c>
      <c r="T70" s="275"/>
      <c r="U70" s="280">
        <v>0</v>
      </c>
      <c r="V70" s="281">
        <f>ROUND(U70*$J70,0)</f>
        <v>0</v>
      </c>
      <c r="W70" s="275"/>
      <c r="X70" s="280">
        <v>0</v>
      </c>
      <c r="Y70" s="281">
        <f>ROUND(X70*$K70,0)</f>
        <v>0</v>
      </c>
      <c r="Z70" s="275"/>
      <c r="AA70" s="280">
        <v>0</v>
      </c>
      <c r="AB70" s="281">
        <f>ROUND(AA70*$L70,0)</f>
        <v>0</v>
      </c>
      <c r="AC70" s="275"/>
      <c r="AD70" s="280">
        <v>0</v>
      </c>
      <c r="AE70" s="281">
        <f>ROUND(AD70*$M70,0)</f>
        <v>0</v>
      </c>
    </row>
    <row r="71" spans="1:31" ht="14.25">
      <c r="A71" s="300" t="s">
        <v>319</v>
      </c>
      <c r="B71" s="274"/>
      <c r="C71" s="276" t="s">
        <v>320</v>
      </c>
      <c r="D71" s="301">
        <f>ROUND(VLOOKUP(A71,'AVERAGE SALARY LOOKUP - Table 1'!$A$3:$E$10004,4,FALSE),0)</f>
        <v>29994</v>
      </c>
      <c r="E71" s="277">
        <f>VLOOKUP(A71,'AVERAGE SALARY LOOKUP - Table 1'!$A$3:$F$700,6,FALSE)</f>
        <v>9204</v>
      </c>
      <c r="F71" s="277">
        <f>VLOOKUP(A71,'AVERAGE SALARY LOOKUP - Table 1'!$A$3:$G$700,7,FALSE)</f>
        <v>9415</v>
      </c>
      <c r="G71" s="302">
        <f t="shared" si="36"/>
        <v>39198</v>
      </c>
      <c r="H71" s="303">
        <f t="shared" si="37"/>
        <v>39409</v>
      </c>
      <c r="I71" s="303">
        <f>G71*(1+Assumptions!E$5)</f>
        <v>39198</v>
      </c>
      <c r="J71" s="303">
        <f>I71*(1+Assumptions!F$5)</f>
        <v>39589.980000000003</v>
      </c>
      <c r="K71" s="303">
        <f>J71*(1+Assumptions!G$5)</f>
        <v>39985.879800000002</v>
      </c>
      <c r="L71" s="303">
        <f>K71*(1+Assumptions!H$5)</f>
        <v>40385.738598000004</v>
      </c>
      <c r="M71" s="303">
        <f>L71*(1+Assumptions!I$5)</f>
        <v>40789.595983980005</v>
      </c>
      <c r="N71" s="275"/>
      <c r="O71" s="280">
        <v>0</v>
      </c>
      <c r="P71" s="281">
        <f t="shared" si="38"/>
        <v>0</v>
      </c>
      <c r="Q71" s="275"/>
      <c r="R71" s="280">
        <v>1</v>
      </c>
      <c r="S71" s="281">
        <f t="shared" si="39"/>
        <v>39198</v>
      </c>
      <c r="T71" s="275"/>
      <c r="U71" s="280">
        <v>1</v>
      </c>
      <c r="V71" s="281">
        <f t="shared" si="40"/>
        <v>39590</v>
      </c>
      <c r="W71" s="275"/>
      <c r="X71" s="280">
        <v>1</v>
      </c>
      <c r="Y71" s="281">
        <f t="shared" si="41"/>
        <v>39986</v>
      </c>
      <c r="Z71" s="275"/>
      <c r="AA71" s="280">
        <v>1</v>
      </c>
      <c r="AB71" s="281">
        <f t="shared" si="42"/>
        <v>40386</v>
      </c>
      <c r="AC71" s="275"/>
      <c r="AD71" s="280">
        <v>1</v>
      </c>
      <c r="AE71" s="281">
        <f t="shared" si="43"/>
        <v>40790</v>
      </c>
    </row>
    <row r="72" spans="1:31" ht="14.25">
      <c r="A72" s="300" t="s">
        <v>321</v>
      </c>
      <c r="B72" s="274"/>
      <c r="C72" s="276" t="s">
        <v>322</v>
      </c>
      <c r="D72" s="301">
        <f>ROUND(VLOOKUP(A72,'AVERAGE SALARY LOOKUP - Table 1'!$A$3:$E$10004,4,FALSE),0)</f>
        <v>34380</v>
      </c>
      <c r="E72" s="277">
        <f>VLOOKUP(A72,'AVERAGE SALARY LOOKUP - Table 1'!$A$3:$F$700,6,FALSE)</f>
        <v>9982</v>
      </c>
      <c r="F72" s="277">
        <f>VLOOKUP(A72,'AVERAGE SALARY LOOKUP - Table 1'!$A$3:$G$700,7,FALSE)</f>
        <v>10792</v>
      </c>
      <c r="G72" s="302">
        <f t="shared" si="36"/>
        <v>44362</v>
      </c>
      <c r="H72" s="303">
        <f t="shared" si="37"/>
        <v>45172</v>
      </c>
      <c r="I72" s="303">
        <f>G72*(1+Assumptions!E$5)</f>
        <v>44362</v>
      </c>
      <c r="J72" s="303">
        <f>I72*(1+Assumptions!F$5)</f>
        <v>44805.62</v>
      </c>
      <c r="K72" s="303">
        <f>J72*(1+Assumptions!G$5)</f>
        <v>45253.676200000002</v>
      </c>
      <c r="L72" s="303">
        <f>K72*(1+Assumptions!H$5)</f>
        <v>45706.212962000005</v>
      </c>
      <c r="M72" s="303">
        <f>L72*(1+Assumptions!I$5)</f>
        <v>46163.275091620002</v>
      </c>
      <c r="N72" s="275"/>
      <c r="O72" s="280">
        <v>0</v>
      </c>
      <c r="P72" s="281">
        <f t="shared" si="38"/>
        <v>0</v>
      </c>
      <c r="Q72" s="275"/>
      <c r="R72" s="280">
        <v>0</v>
      </c>
      <c r="S72" s="281">
        <f t="shared" si="39"/>
        <v>0</v>
      </c>
      <c r="T72" s="275"/>
      <c r="U72" s="280">
        <v>0</v>
      </c>
      <c r="V72" s="281">
        <f t="shared" si="40"/>
        <v>0</v>
      </c>
      <c r="W72" s="275"/>
      <c r="X72" s="280">
        <v>0</v>
      </c>
      <c r="Y72" s="281">
        <f t="shared" si="41"/>
        <v>0</v>
      </c>
      <c r="Z72" s="275"/>
      <c r="AA72" s="280">
        <v>0</v>
      </c>
      <c r="AB72" s="281">
        <f t="shared" si="42"/>
        <v>0</v>
      </c>
      <c r="AC72" s="275"/>
      <c r="AD72" s="280">
        <v>0</v>
      </c>
      <c r="AE72" s="281">
        <f t="shared" si="43"/>
        <v>0</v>
      </c>
    </row>
    <row r="73" spans="1:31" ht="14.25">
      <c r="A73" s="300" t="s">
        <v>323</v>
      </c>
      <c r="B73" s="274"/>
      <c r="C73" s="276" t="s">
        <v>324</v>
      </c>
      <c r="D73" s="301">
        <f>ROUND(VLOOKUP(A73,'AVERAGE SALARY LOOKUP - Table 1'!$A$3:$E$10004,4,FALSE),0)</f>
        <v>35028</v>
      </c>
      <c r="E73" s="277">
        <f>VLOOKUP(A73,'AVERAGE SALARY LOOKUP - Table 1'!$A$3:$F$700,6,FALSE)</f>
        <v>10098</v>
      </c>
      <c r="F73" s="277">
        <f>VLOOKUP(A73,'AVERAGE SALARY LOOKUP - Table 1'!$A$3:$G$700,7,FALSE)</f>
        <v>10995</v>
      </c>
      <c r="G73" s="302">
        <f t="shared" si="36"/>
        <v>45126</v>
      </c>
      <c r="H73" s="303">
        <f t="shared" si="37"/>
        <v>46023</v>
      </c>
      <c r="I73" s="303">
        <f>G73*(1+Assumptions!E$5)</f>
        <v>45126</v>
      </c>
      <c r="J73" s="303">
        <f>I73*(1+Assumptions!F$5)</f>
        <v>45577.26</v>
      </c>
      <c r="K73" s="303">
        <f>J73*(1+Assumptions!G$5)</f>
        <v>46033.032600000006</v>
      </c>
      <c r="L73" s="303">
        <f>K73*(1+Assumptions!H$5)</f>
        <v>46493.362926000009</v>
      </c>
      <c r="M73" s="303">
        <f>L73*(1+Assumptions!I$5)</f>
        <v>46958.296555260007</v>
      </c>
      <c r="N73" s="275"/>
      <c r="O73" s="280">
        <v>0</v>
      </c>
      <c r="P73" s="281">
        <f t="shared" si="38"/>
        <v>0</v>
      </c>
      <c r="Q73" s="275"/>
      <c r="R73" s="280">
        <v>0</v>
      </c>
      <c r="S73" s="281">
        <f t="shared" si="39"/>
        <v>0</v>
      </c>
      <c r="T73" s="275"/>
      <c r="U73" s="280">
        <v>0</v>
      </c>
      <c r="V73" s="281">
        <f t="shared" si="40"/>
        <v>0</v>
      </c>
      <c r="W73" s="275"/>
      <c r="X73" s="280">
        <v>0</v>
      </c>
      <c r="Y73" s="281">
        <f t="shared" si="41"/>
        <v>0</v>
      </c>
      <c r="Z73" s="275"/>
      <c r="AA73" s="280">
        <v>0</v>
      </c>
      <c r="AB73" s="281">
        <f t="shared" si="42"/>
        <v>0</v>
      </c>
      <c r="AC73" s="275"/>
      <c r="AD73" s="280">
        <v>0</v>
      </c>
      <c r="AE73" s="281">
        <f t="shared" si="43"/>
        <v>0</v>
      </c>
    </row>
    <row r="74" spans="1:31" ht="14.25">
      <c r="A74" s="300" t="s">
        <v>325</v>
      </c>
      <c r="B74" s="274"/>
      <c r="C74" s="276" t="s">
        <v>326</v>
      </c>
      <c r="D74" s="301">
        <f>ROUND(VLOOKUP(A74,'AVERAGE SALARY LOOKUP - Table 1'!$A$3:$E$10004,4,FALSE),0)</f>
        <v>26950</v>
      </c>
      <c r="E74" s="277">
        <f>VLOOKUP(A74,'AVERAGE SALARY LOOKUP - Table 1'!$A$3:$F$700,6,FALSE)</f>
        <v>8662</v>
      </c>
      <c r="F74" s="277">
        <f>VLOOKUP(A74,'AVERAGE SALARY LOOKUP - Table 1'!$A$3:$G$700,7,FALSE)</f>
        <v>8460</v>
      </c>
      <c r="G74" s="302">
        <f>D74+E74</f>
        <v>35612</v>
      </c>
      <c r="H74" s="303">
        <f>D74+F74</f>
        <v>35410</v>
      </c>
      <c r="I74" s="303">
        <f>G74*(1+Assumptions!E$5)</f>
        <v>35612</v>
      </c>
      <c r="J74" s="303">
        <f>I74*(1+Assumptions!F$5)</f>
        <v>35968.120000000003</v>
      </c>
      <c r="K74" s="303">
        <f>J74*(1+Assumptions!G$5)</f>
        <v>36327.801200000002</v>
      </c>
      <c r="L74" s="303">
        <f>K74*(1+Assumptions!H$5)</f>
        <v>36691.079212000004</v>
      </c>
      <c r="M74" s="303">
        <f>L74*(1+Assumptions!I$5)</f>
        <v>37057.990004120002</v>
      </c>
      <c r="N74" s="275"/>
      <c r="O74" s="280">
        <v>0</v>
      </c>
      <c r="P74" s="281">
        <f t="shared" si="38"/>
        <v>0</v>
      </c>
      <c r="Q74" s="275"/>
      <c r="R74" s="280"/>
      <c r="S74" s="281">
        <f t="shared" si="39"/>
        <v>0</v>
      </c>
      <c r="T74" s="275"/>
      <c r="U74" s="280"/>
      <c r="V74" s="281">
        <f t="shared" si="40"/>
        <v>0</v>
      </c>
      <c r="W74" s="275"/>
      <c r="X74" s="280">
        <v>1</v>
      </c>
      <c r="Y74" s="281">
        <f t="shared" si="41"/>
        <v>36328</v>
      </c>
      <c r="Z74" s="275"/>
      <c r="AA74" s="280">
        <v>1</v>
      </c>
      <c r="AB74" s="281">
        <f t="shared" si="42"/>
        <v>36691</v>
      </c>
      <c r="AC74" s="275"/>
      <c r="AD74" s="280">
        <v>1</v>
      </c>
      <c r="AE74" s="281">
        <f t="shared" si="43"/>
        <v>37058</v>
      </c>
    </row>
    <row r="75" spans="1:31" ht="14.25">
      <c r="A75" s="300" t="s">
        <v>327</v>
      </c>
      <c r="B75" s="274"/>
      <c r="C75" s="276" t="s">
        <v>328</v>
      </c>
      <c r="D75" s="301">
        <f>ROUND(VLOOKUP(A75,'AVERAGE SALARY LOOKUP - Table 1'!$A$3:$E$10004,4,FALSE),0)</f>
        <v>33938</v>
      </c>
      <c r="E75" s="277">
        <f>VLOOKUP(A75,'AVERAGE SALARY LOOKUP - Table 1'!$A$3:$F$700,6,FALSE)</f>
        <v>9904</v>
      </c>
      <c r="F75" s="277">
        <f>VLOOKUP(A75,'AVERAGE SALARY LOOKUP - Table 1'!$A$3:$G$700,7,FALSE)</f>
        <v>10653</v>
      </c>
      <c r="G75" s="302">
        <f t="shared" si="36"/>
        <v>43842</v>
      </c>
      <c r="H75" s="303">
        <f t="shared" si="37"/>
        <v>44591</v>
      </c>
      <c r="I75" s="303">
        <f>G75*(1+Assumptions!E$5)</f>
        <v>43842</v>
      </c>
      <c r="J75" s="303">
        <f>I75*(1+Assumptions!F$5)</f>
        <v>44280.42</v>
      </c>
      <c r="K75" s="303">
        <f>J75*(1+Assumptions!G$5)</f>
        <v>44723.224199999997</v>
      </c>
      <c r="L75" s="303">
        <f>K75*(1+Assumptions!H$5)</f>
        <v>45170.456441999995</v>
      </c>
      <c r="M75" s="303">
        <f>L75*(1+Assumptions!I$5)</f>
        <v>45622.161006419992</v>
      </c>
      <c r="N75" s="275"/>
      <c r="O75" s="280">
        <v>0</v>
      </c>
      <c r="P75" s="281">
        <f t="shared" si="38"/>
        <v>0</v>
      </c>
      <c r="Q75" s="275"/>
      <c r="R75" s="280"/>
      <c r="S75" s="281">
        <f t="shared" si="39"/>
        <v>0</v>
      </c>
      <c r="T75" s="275"/>
      <c r="U75" s="280"/>
      <c r="V75" s="281">
        <f t="shared" si="40"/>
        <v>0</v>
      </c>
      <c r="W75" s="275"/>
      <c r="X75" s="280"/>
      <c r="Y75" s="281">
        <f t="shared" si="41"/>
        <v>0</v>
      </c>
      <c r="Z75" s="275"/>
      <c r="AA75" s="280"/>
      <c r="AB75" s="281">
        <f t="shared" si="42"/>
        <v>0</v>
      </c>
      <c r="AC75" s="275"/>
      <c r="AD75" s="280"/>
      <c r="AE75" s="281">
        <f t="shared" si="43"/>
        <v>0</v>
      </c>
    </row>
    <row r="76" spans="1:31" ht="14.25">
      <c r="A76" s="300" t="s">
        <v>329</v>
      </c>
      <c r="B76" s="274"/>
      <c r="C76" s="276" t="s">
        <v>330</v>
      </c>
      <c r="D76" s="301">
        <f>ROUND(VLOOKUP(A76,'AVERAGE SALARY LOOKUP - Table 1'!$A$3:$E$10004,4,FALSE),0)</f>
        <v>42380</v>
      </c>
      <c r="E76" s="277">
        <f>VLOOKUP(A76,'AVERAGE SALARY LOOKUP - Table 1'!$A$3:$F$700,6,FALSE)</f>
        <v>11404</v>
      </c>
      <c r="F76" s="277">
        <f>VLOOKUP(A76,'AVERAGE SALARY LOOKUP - Table 1'!$A$3:$G$700,7,FALSE)</f>
        <v>13303</v>
      </c>
      <c r="G76" s="302">
        <f t="shared" si="36"/>
        <v>53784</v>
      </c>
      <c r="H76" s="303">
        <f t="shared" si="37"/>
        <v>55683</v>
      </c>
      <c r="I76" s="303">
        <f>G76*(1+Assumptions!E$5)</f>
        <v>53784</v>
      </c>
      <c r="J76" s="303">
        <f>I76*(1+Assumptions!F$5)</f>
        <v>54321.840000000004</v>
      </c>
      <c r="K76" s="303">
        <f>J76*(1+Assumptions!G$5)</f>
        <v>54865.058400000002</v>
      </c>
      <c r="L76" s="303">
        <f>K76*(1+Assumptions!H$5)</f>
        <v>55413.708984000004</v>
      </c>
      <c r="M76" s="303">
        <f>L76*(1+Assumptions!I$5)</f>
        <v>55967.846073840003</v>
      </c>
      <c r="N76" s="275"/>
      <c r="O76" s="280">
        <v>0</v>
      </c>
      <c r="P76" s="281">
        <f t="shared" si="38"/>
        <v>0</v>
      </c>
      <c r="Q76" s="275"/>
      <c r="R76" s="280">
        <v>0</v>
      </c>
      <c r="S76" s="281">
        <f t="shared" si="39"/>
        <v>0</v>
      </c>
      <c r="T76" s="275"/>
      <c r="U76" s="280">
        <v>0</v>
      </c>
      <c r="V76" s="281">
        <f t="shared" si="40"/>
        <v>0</v>
      </c>
      <c r="W76" s="275"/>
      <c r="X76" s="280">
        <v>0</v>
      </c>
      <c r="Y76" s="281">
        <f t="shared" si="41"/>
        <v>0</v>
      </c>
      <c r="Z76" s="275"/>
      <c r="AA76" s="280">
        <v>0</v>
      </c>
      <c r="AB76" s="281">
        <f t="shared" si="42"/>
        <v>0</v>
      </c>
      <c r="AC76" s="275"/>
      <c r="AD76" s="280">
        <v>0</v>
      </c>
      <c r="AE76" s="281">
        <f t="shared" si="43"/>
        <v>0</v>
      </c>
    </row>
    <row r="77" spans="1:31" ht="14.25">
      <c r="A77" s="70"/>
      <c r="B77" s="274"/>
      <c r="C77" s="16" t="s">
        <v>331</v>
      </c>
      <c r="D77" s="305">
        <f>SUM(D65:D76)</f>
        <v>369803</v>
      </c>
      <c r="E77" s="306">
        <f>SUM(E65:E76)</f>
        <v>112196</v>
      </c>
      <c r="F77" s="307">
        <f>SUM(F65:F76)</f>
        <v>116081</v>
      </c>
      <c r="G77" s="305"/>
      <c r="H77" s="303"/>
      <c r="I77" s="303"/>
      <c r="J77" s="303"/>
      <c r="K77" s="303"/>
      <c r="L77" s="303"/>
      <c r="M77" s="303"/>
      <c r="N77" s="275"/>
      <c r="O77" s="313">
        <f>SUM(O65:O76)</f>
        <v>0</v>
      </c>
      <c r="P77" s="314">
        <f>SUM(P65:P76)</f>
        <v>0</v>
      </c>
      <c r="Q77" s="275"/>
      <c r="R77" s="313">
        <f>SUM(R65:R76)</f>
        <v>1</v>
      </c>
      <c r="S77" s="314">
        <f>SUM(S65:S76)</f>
        <v>39198</v>
      </c>
      <c r="T77" s="275"/>
      <c r="U77" s="313">
        <f>SUM(U65:U76)</f>
        <v>1</v>
      </c>
      <c r="V77" s="314">
        <f>SUM(V65:V76)</f>
        <v>39590</v>
      </c>
      <c r="W77" s="275"/>
      <c r="X77" s="313">
        <f>SUM(X65:X76)</f>
        <v>2</v>
      </c>
      <c r="Y77" s="314">
        <f>SUM(Y65:Y76)</f>
        <v>76314</v>
      </c>
      <c r="Z77" s="275"/>
      <c r="AA77" s="313">
        <f>SUM(AA65:AA76)</f>
        <v>2</v>
      </c>
      <c r="AB77" s="314">
        <f>SUM(AB65:AB76)</f>
        <v>77077</v>
      </c>
      <c r="AC77" s="275"/>
      <c r="AD77" s="313">
        <f>SUM(AD65:AD76)</f>
        <v>2</v>
      </c>
      <c r="AE77" s="314">
        <f>SUM(AE65:AE76)</f>
        <v>77848</v>
      </c>
    </row>
    <row r="78" spans="1:31" ht="14.25">
      <c r="A78" s="70"/>
      <c r="B78" s="76"/>
      <c r="C78" s="315"/>
      <c r="D78" s="315"/>
      <c r="E78" s="315"/>
      <c r="F78" s="315"/>
      <c r="G78" s="315"/>
      <c r="H78" s="315"/>
      <c r="I78" s="315"/>
      <c r="J78" s="315"/>
      <c r="K78" s="315"/>
      <c r="L78" s="315"/>
      <c r="M78" s="315"/>
      <c r="N78" s="76"/>
      <c r="O78" s="316"/>
      <c r="P78" s="317"/>
      <c r="Q78" s="76"/>
      <c r="R78" s="316"/>
      <c r="S78" s="317"/>
      <c r="T78" s="76"/>
      <c r="U78" s="316"/>
      <c r="V78" s="317"/>
      <c r="W78" s="76"/>
      <c r="X78" s="316"/>
      <c r="Y78" s="317"/>
      <c r="Z78" s="76"/>
      <c r="AA78" s="316"/>
      <c r="AB78" s="317"/>
      <c r="AC78" s="76"/>
      <c r="AD78" s="316"/>
      <c r="AE78" s="317"/>
    </row>
    <row r="79" spans="1:31" ht="14.25">
      <c r="A79" s="70"/>
      <c r="B79" s="112"/>
      <c r="C79" s="289" t="s">
        <v>332</v>
      </c>
      <c r="D79" s="290">
        <f>SUM(D65:D78)</f>
        <v>739606</v>
      </c>
      <c r="E79" s="291">
        <f>SUM(E65:E78)</f>
        <v>224392</v>
      </c>
      <c r="F79" s="292">
        <f>SUM(F65:F78)</f>
        <v>232162</v>
      </c>
      <c r="G79" s="293"/>
      <c r="H79" s="294"/>
      <c r="I79" s="294"/>
      <c r="J79" s="294"/>
      <c r="K79" s="294"/>
      <c r="L79" s="294"/>
      <c r="M79" s="294"/>
      <c r="N79" s="113"/>
      <c r="O79" s="295">
        <f>O38+O55+O62+O77</f>
        <v>1.5</v>
      </c>
      <c r="P79" s="296">
        <f>P38+P55+P62+P77</f>
        <v>162677</v>
      </c>
      <c r="Q79" s="113"/>
      <c r="R79" s="295">
        <f>R38+R55+R62+R77</f>
        <v>18.600000000000001</v>
      </c>
      <c r="S79" s="296">
        <f>S38+S55+S62+S77</f>
        <v>2028027</v>
      </c>
      <c r="T79" s="113"/>
      <c r="U79" s="295">
        <f>U38+U55+U62+U77</f>
        <v>32.4</v>
      </c>
      <c r="V79" s="296">
        <f>V38+V55+V62+V77</f>
        <v>2991223</v>
      </c>
      <c r="W79" s="113"/>
      <c r="X79" s="295">
        <f>X38+X55+X62+X77</f>
        <v>43.6</v>
      </c>
      <c r="Y79" s="296">
        <f>Y38+Y55+Y62+Y77</f>
        <v>3739854</v>
      </c>
      <c r="Z79" s="113"/>
      <c r="AA79" s="295">
        <f>AA38+AA55+AA62+AA77</f>
        <v>47.1</v>
      </c>
      <c r="AB79" s="296">
        <f>AB38+AB55+AB62+AB77</f>
        <v>4007805</v>
      </c>
      <c r="AC79" s="113"/>
      <c r="AD79" s="295">
        <f>AD38+AD55+AD62+AD77</f>
        <v>47.1</v>
      </c>
      <c r="AE79" s="296">
        <f>AE38+AE55+AE62+AE77</f>
        <v>4040636</v>
      </c>
    </row>
    <row r="80" spans="1:31" ht="14.25">
      <c r="A80" s="70"/>
      <c r="B80" s="76"/>
      <c r="C80" s="91"/>
      <c r="D80" s="91"/>
      <c r="E80" s="91"/>
      <c r="F80" s="91"/>
      <c r="G80" s="318"/>
      <c r="H80" s="318"/>
      <c r="I80" s="318"/>
      <c r="J80" s="318"/>
      <c r="K80" s="318"/>
      <c r="L80" s="318"/>
      <c r="M80" s="318"/>
      <c r="N80" s="76"/>
      <c r="O80" s="319"/>
      <c r="P80" s="320"/>
      <c r="Q80" s="76"/>
      <c r="R80" s="319"/>
      <c r="S80" s="320"/>
      <c r="T80" s="76"/>
      <c r="U80" s="319"/>
      <c r="V80" s="320"/>
      <c r="W80" s="76"/>
      <c r="X80" s="319"/>
      <c r="Y80" s="320"/>
      <c r="Z80" s="76"/>
      <c r="AA80" s="319"/>
      <c r="AB80" s="320"/>
      <c r="AC80" s="76"/>
      <c r="AD80" s="319"/>
      <c r="AE80" s="320"/>
    </row>
    <row r="81" spans="1:31" ht="14.25">
      <c r="A81" s="70"/>
      <c r="B81" s="76"/>
      <c r="C81" s="76"/>
      <c r="D81" s="76"/>
      <c r="E81" s="76"/>
      <c r="F81" s="76"/>
      <c r="G81" s="321"/>
      <c r="H81" s="321"/>
      <c r="I81" s="321"/>
      <c r="J81" s="321"/>
      <c r="K81" s="321"/>
      <c r="L81" s="321"/>
      <c r="M81" s="321"/>
      <c r="N81" s="76"/>
      <c r="O81" s="322"/>
      <c r="P81" s="129"/>
      <c r="Q81" s="76"/>
      <c r="R81" s="322"/>
      <c r="S81" s="129"/>
      <c r="T81" s="76"/>
      <c r="U81" s="322"/>
      <c r="V81" s="129"/>
      <c r="W81" s="76"/>
      <c r="X81" s="322"/>
      <c r="Y81" s="129"/>
      <c r="Z81" s="76"/>
      <c r="AA81" s="322"/>
      <c r="AB81" s="129"/>
      <c r="AC81" s="76"/>
      <c r="AD81" s="322"/>
      <c r="AE81" s="129"/>
    </row>
    <row r="82" spans="1:31" ht="14.25">
      <c r="A82" s="70"/>
      <c r="B82" s="76"/>
      <c r="C82" s="76"/>
      <c r="D82" s="74"/>
      <c r="E82" s="323"/>
      <c r="F82" s="323"/>
      <c r="G82" s="321"/>
      <c r="H82" s="321"/>
      <c r="I82" s="321"/>
      <c r="J82" s="321"/>
      <c r="K82" s="321"/>
      <c r="L82" s="321"/>
      <c r="M82" s="321"/>
      <c r="N82" s="76"/>
      <c r="O82" s="322"/>
      <c r="P82" s="129"/>
      <c r="Q82" s="76"/>
      <c r="R82" s="322"/>
      <c r="S82" s="129"/>
      <c r="T82" s="76"/>
      <c r="U82" s="322"/>
      <c r="V82" s="129"/>
      <c r="W82" s="76"/>
      <c r="X82" s="322"/>
      <c r="Y82" s="129"/>
      <c r="Z82" s="76"/>
      <c r="AA82" s="322"/>
      <c r="AB82" s="129"/>
      <c r="AC82" s="76"/>
      <c r="AD82" s="322"/>
      <c r="AE82" s="129"/>
    </row>
    <row r="83" spans="1:31" ht="14.25">
      <c r="A83" s="70"/>
      <c r="B83" s="76"/>
      <c r="C83" s="76"/>
      <c r="D83" s="74"/>
      <c r="E83" s="323"/>
      <c r="F83" s="323"/>
      <c r="G83" s="321"/>
      <c r="H83" s="321"/>
      <c r="I83" s="321"/>
      <c r="J83" s="321"/>
      <c r="K83" s="321"/>
      <c r="L83" s="321"/>
      <c r="M83" s="321"/>
      <c r="N83" s="76"/>
      <c r="O83" s="322"/>
      <c r="P83" s="129"/>
      <c r="Q83" s="76"/>
      <c r="R83" s="322"/>
      <c r="S83" s="129"/>
      <c r="T83" s="76"/>
      <c r="U83" s="322"/>
      <c r="V83" s="129"/>
      <c r="W83" s="76"/>
      <c r="X83" s="322"/>
      <c r="Y83" s="129"/>
      <c r="Z83" s="76"/>
      <c r="AA83" s="322"/>
      <c r="AB83" s="129"/>
      <c r="AC83" s="76"/>
      <c r="AD83" s="322"/>
      <c r="AE83" s="129"/>
    </row>
    <row r="84" spans="1:31" ht="14.25">
      <c r="A84" s="70"/>
      <c r="B84" s="76"/>
      <c r="C84" s="76"/>
      <c r="D84" s="74"/>
      <c r="E84" s="323"/>
      <c r="F84" s="323"/>
      <c r="G84" s="321"/>
      <c r="H84" s="321"/>
      <c r="I84" s="321"/>
      <c r="J84" s="321"/>
      <c r="K84" s="321"/>
      <c r="L84" s="321"/>
      <c r="M84" s="321"/>
      <c r="N84" s="76"/>
      <c r="O84" s="322"/>
      <c r="P84" s="129"/>
      <c r="Q84" s="76"/>
      <c r="R84" s="322"/>
      <c r="S84" s="129"/>
      <c r="T84" s="76"/>
      <c r="U84" s="322"/>
      <c r="V84" s="129"/>
      <c r="W84" s="76"/>
      <c r="X84" s="322"/>
      <c r="Y84" s="129"/>
      <c r="Z84" s="76"/>
      <c r="AA84" s="322"/>
      <c r="AB84" s="129"/>
      <c r="AC84" s="76"/>
      <c r="AD84" s="322"/>
      <c r="AE84" s="129"/>
    </row>
    <row r="85" spans="1:31" ht="14.25">
      <c r="A85" s="70"/>
      <c r="B85" s="76"/>
      <c r="C85" s="76"/>
      <c r="D85" s="74"/>
      <c r="E85" s="323"/>
      <c r="F85" s="323"/>
      <c r="G85" s="321"/>
      <c r="H85" s="321"/>
      <c r="I85" s="321"/>
      <c r="J85" s="321"/>
      <c r="K85" s="321"/>
      <c r="L85" s="321"/>
      <c r="M85" s="321"/>
      <c r="N85" s="76"/>
      <c r="O85" s="322"/>
      <c r="P85" s="129"/>
      <c r="Q85" s="76"/>
      <c r="R85" s="322"/>
      <c r="S85" s="129"/>
      <c r="T85" s="76"/>
      <c r="U85" s="322"/>
      <c r="V85" s="129"/>
      <c r="W85" s="76"/>
      <c r="X85" s="322"/>
      <c r="Y85" s="129"/>
      <c r="Z85" s="76"/>
      <c r="AA85" s="322"/>
      <c r="AB85" s="129"/>
      <c r="AC85" s="76"/>
      <c r="AD85" s="322"/>
      <c r="AE85" s="129"/>
    </row>
    <row r="86" spans="1:31" ht="14.25">
      <c r="A86" s="70"/>
      <c r="B86" s="76"/>
      <c r="C86" s="76"/>
      <c r="D86" s="74"/>
      <c r="E86" s="76"/>
      <c r="F86" s="76"/>
      <c r="G86" s="321"/>
      <c r="H86" s="321"/>
      <c r="I86" s="321"/>
      <c r="J86" s="321"/>
      <c r="K86" s="321"/>
      <c r="L86" s="321"/>
      <c r="M86" s="321"/>
      <c r="N86" s="76"/>
      <c r="O86" s="322"/>
      <c r="P86" s="129"/>
      <c r="Q86" s="76"/>
      <c r="R86" s="322"/>
      <c r="S86" s="129"/>
      <c r="T86" s="76"/>
      <c r="U86" s="322"/>
      <c r="V86" s="129"/>
      <c r="W86" s="76"/>
      <c r="X86" s="322"/>
      <c r="Y86" s="129"/>
      <c r="Z86" s="76"/>
      <c r="AA86" s="322"/>
      <c r="AB86" s="129"/>
      <c r="AC86" s="76"/>
      <c r="AD86" s="322"/>
      <c r="AE86" s="129"/>
    </row>
    <row r="87" spans="1:31" ht="14.25">
      <c r="A87" s="70"/>
      <c r="B87" s="76"/>
      <c r="C87" s="76"/>
      <c r="D87" s="74"/>
      <c r="E87" s="76"/>
      <c r="F87" s="76"/>
      <c r="G87" s="321"/>
      <c r="H87" s="321"/>
      <c r="I87" s="321"/>
      <c r="J87" s="321"/>
      <c r="K87" s="321"/>
      <c r="L87" s="321"/>
      <c r="M87" s="321"/>
      <c r="N87" s="76"/>
      <c r="O87" s="322"/>
      <c r="P87" s="129"/>
      <c r="Q87" s="76"/>
      <c r="R87" s="322"/>
      <c r="S87" s="129"/>
      <c r="T87" s="76"/>
      <c r="U87" s="322"/>
      <c r="V87" s="129"/>
      <c r="W87" s="76"/>
      <c r="X87" s="322"/>
      <c r="Y87" s="129"/>
      <c r="Z87" s="76"/>
      <c r="AA87" s="322"/>
      <c r="AB87" s="129"/>
      <c r="AC87" s="76"/>
      <c r="AD87" s="322"/>
      <c r="AE87" s="129"/>
    </row>
    <row r="88" spans="1:31" ht="14.25">
      <c r="A88" s="70"/>
      <c r="B88" s="76"/>
      <c r="C88" s="76"/>
      <c r="D88" s="74"/>
      <c r="E88" s="76"/>
      <c r="F88" s="76"/>
      <c r="G88" s="321"/>
      <c r="H88" s="321"/>
      <c r="I88" s="321"/>
      <c r="J88" s="321"/>
      <c r="K88" s="321"/>
      <c r="L88" s="321"/>
      <c r="M88" s="321"/>
      <c r="N88" s="76"/>
      <c r="O88" s="322"/>
      <c r="P88" s="129"/>
      <c r="Q88" s="76"/>
      <c r="R88" s="322"/>
      <c r="S88" s="129"/>
      <c r="T88" s="76"/>
      <c r="U88" s="322"/>
      <c r="V88" s="129"/>
      <c r="W88" s="76"/>
      <c r="X88" s="322"/>
      <c r="Y88" s="129"/>
      <c r="Z88" s="76"/>
      <c r="AA88" s="322"/>
      <c r="AB88" s="129"/>
      <c r="AC88" s="76"/>
      <c r="AD88" s="322"/>
      <c r="AE88" s="129"/>
    </row>
    <row r="89" spans="1:31" ht="14.25">
      <c r="A89" s="70"/>
      <c r="B89" s="76"/>
      <c r="C89" s="76"/>
      <c r="D89" s="74"/>
      <c r="E89" s="76"/>
      <c r="F89" s="76"/>
      <c r="G89" s="321"/>
      <c r="H89" s="321"/>
      <c r="I89" s="321"/>
      <c r="J89" s="321"/>
      <c r="K89" s="321"/>
      <c r="L89" s="321"/>
      <c r="M89" s="321"/>
      <c r="N89" s="76"/>
      <c r="O89" s="322"/>
      <c r="P89" s="129"/>
      <c r="Q89" s="76"/>
      <c r="R89" s="322"/>
      <c r="S89" s="129"/>
      <c r="T89" s="76"/>
      <c r="U89" s="322"/>
      <c r="V89" s="129"/>
      <c r="W89" s="76"/>
      <c r="X89" s="322"/>
      <c r="Y89" s="129"/>
      <c r="Z89" s="76"/>
      <c r="AA89" s="322"/>
      <c r="AB89" s="129"/>
      <c r="AC89" s="76"/>
      <c r="AD89" s="322"/>
      <c r="AE89" s="129"/>
    </row>
  </sheetData>
  <sheetProtection password="C112" sheet="1" objects="1" scenarios="1"/>
  <mergeCells count="6">
    <mergeCell ref="C64:G64"/>
    <mergeCell ref="C4:G4"/>
    <mergeCell ref="C14:G14"/>
    <mergeCell ref="C21:G21"/>
    <mergeCell ref="C40:G40"/>
    <mergeCell ref="C57:G57"/>
  </mergeCells>
  <pageMargins left="0.19999998807907099" right="0.19999998807907099" top="0.25" bottom="0.5" header="0" footer="0"/>
  <pageSetup scale="47" orientation="landscape" useFirstPageNumber="1" r:id="rId1"/>
  <headerFooter alignWithMargins="0">
    <oddFooter>&amp;C&amp;"Arial,Regular"&amp;22DRAFT - DO NOT DISTRIBUTE</oddFooter>
  </headerFooter>
</worksheet>
</file>

<file path=xl/worksheets/sheet6.xml><?xml version="1.0" encoding="utf-8"?>
<worksheet xmlns="http://schemas.openxmlformats.org/spreadsheetml/2006/main" xmlns:r="http://schemas.openxmlformats.org/officeDocument/2006/relationships">
  <dimension ref="A1:IV50"/>
  <sheetViews>
    <sheetView showGridLines="0" workbookViewId="0">
      <selection sqref="A1:XFD1048576"/>
    </sheetView>
  </sheetViews>
  <sheetFormatPr defaultColWidth="11" defaultRowHeight="20.100000000000001" customHeight="1"/>
  <cols>
    <col min="1" max="1" width="31.75" style="5" customWidth="1"/>
    <col min="2" max="2" width="10.125" style="5" customWidth="1"/>
    <col min="3" max="3" width="1.5" style="5" customWidth="1"/>
    <col min="4" max="4" width="16.875" style="5" customWidth="1"/>
    <col min="5" max="5" width="16.125" style="5" customWidth="1"/>
    <col min="6" max="6" width="15.5" style="5" customWidth="1"/>
    <col min="7" max="9" width="15.75" style="5" customWidth="1"/>
    <col min="10" max="10" width="2.625" style="5" customWidth="1"/>
    <col min="11" max="11" width="7.875" style="5" customWidth="1"/>
    <col min="12" max="256" width="10.25" style="5" customWidth="1"/>
  </cols>
  <sheetData>
    <row r="1" spans="1:256" ht="14.25">
      <c r="A1" s="77"/>
      <c r="B1" s="77"/>
      <c r="C1" s="104"/>
      <c r="D1" s="77"/>
      <c r="E1" s="104"/>
      <c r="F1" s="104"/>
      <c r="G1" s="104"/>
      <c r="H1" s="104"/>
      <c r="I1" s="104"/>
      <c r="J1" s="324"/>
      <c r="K1" s="10"/>
    </row>
    <row r="2" spans="1:256" ht="18">
      <c r="A2" s="185" t="str">
        <f>Assumptions!$C$2&amp;" - NON-SALARY BUDGET"</f>
        <v>DCIS 6-12 - NON-SALARY BUDGET</v>
      </c>
      <c r="B2" s="90"/>
      <c r="C2" s="186"/>
      <c r="D2" s="90"/>
      <c r="E2" s="186"/>
      <c r="F2" s="186"/>
      <c r="G2" s="186"/>
      <c r="H2" s="186"/>
      <c r="I2" s="187"/>
      <c r="J2" s="189"/>
      <c r="K2" s="10"/>
    </row>
    <row r="3" spans="1:256" ht="14.25">
      <c r="A3" s="90"/>
      <c r="B3" s="90"/>
      <c r="C3" s="107"/>
      <c r="D3" s="90"/>
      <c r="E3" s="186"/>
      <c r="F3" s="186"/>
      <c r="G3" s="186"/>
      <c r="H3" s="186"/>
      <c r="I3" s="186"/>
      <c r="J3" s="10"/>
      <c r="K3" s="10"/>
    </row>
    <row r="4" spans="1:256" ht="55.5" customHeight="1">
      <c r="A4" s="640" t="s">
        <v>335</v>
      </c>
      <c r="B4" s="641"/>
      <c r="C4" s="325"/>
      <c r="D4" s="326" t="s">
        <v>150</v>
      </c>
      <c r="E4" s="326" t="s">
        <v>151</v>
      </c>
      <c r="F4" s="326" t="s">
        <v>152</v>
      </c>
      <c r="G4" s="326" t="s">
        <v>153</v>
      </c>
      <c r="H4" s="326" t="s">
        <v>154</v>
      </c>
      <c r="I4" s="326" t="s">
        <v>155</v>
      </c>
      <c r="J4" s="327"/>
      <c r="K4" s="328"/>
    </row>
    <row r="5" spans="1:256" ht="12.75" customHeight="1">
      <c r="A5" s="329" t="s">
        <v>336</v>
      </c>
      <c r="B5" s="330"/>
      <c r="C5" s="103"/>
      <c r="D5" s="331">
        <v>4000</v>
      </c>
      <c r="E5" s="332">
        <f>27009+4000+716</f>
        <v>31725</v>
      </c>
      <c r="F5" s="332">
        <v>35000</v>
      </c>
      <c r="G5" s="332">
        <f>38000-4800</f>
        <v>33200</v>
      </c>
      <c r="H5" s="332">
        <v>80000</v>
      </c>
      <c r="I5" s="332">
        <v>85000</v>
      </c>
      <c r="J5" s="11"/>
      <c r="K5" s="10"/>
    </row>
    <row r="6" spans="1:256" ht="14.25">
      <c r="A6" s="333" t="s">
        <v>337</v>
      </c>
      <c r="B6" s="334"/>
      <c r="C6" s="103"/>
      <c r="D6" s="55"/>
      <c r="E6" s="19"/>
      <c r="F6" s="19"/>
      <c r="G6" s="19"/>
      <c r="H6" s="19"/>
      <c r="I6" s="335"/>
      <c r="J6" s="28"/>
      <c r="K6" s="10"/>
    </row>
    <row r="7" spans="1:256" ht="14.25">
      <c r="A7" s="333" t="s">
        <v>338</v>
      </c>
      <c r="B7" s="334"/>
      <c r="C7" s="103"/>
      <c r="D7" s="55"/>
      <c r="E7" s="19">
        <f>3500+3500+3461</f>
        <v>10461</v>
      </c>
      <c r="F7" s="19">
        <v>10000</v>
      </c>
      <c r="G7" s="19">
        <v>15000</v>
      </c>
      <c r="H7" s="19">
        <v>25000</v>
      </c>
      <c r="I7" s="335">
        <v>30000</v>
      </c>
      <c r="J7" s="28"/>
      <c r="K7" s="10"/>
    </row>
    <row r="8" spans="1:256" ht="14.25">
      <c r="A8" s="333" t="s">
        <v>339</v>
      </c>
      <c r="B8" s="334"/>
      <c r="C8" s="103"/>
      <c r="D8" s="55"/>
      <c r="E8" s="19">
        <v>10000</v>
      </c>
      <c r="F8" s="19">
        <v>10000</v>
      </c>
      <c r="G8" s="19">
        <v>10000</v>
      </c>
      <c r="H8" s="19">
        <v>20000</v>
      </c>
      <c r="I8" s="335">
        <v>25000</v>
      </c>
      <c r="J8" s="28"/>
      <c r="K8" s="10"/>
    </row>
    <row r="9" spans="1:256" ht="14.25">
      <c r="A9" s="333" t="s">
        <v>340</v>
      </c>
      <c r="B9" s="334"/>
      <c r="C9" s="103"/>
      <c r="D9" s="55">
        <v>3000</v>
      </c>
      <c r="E9" s="19">
        <v>9840</v>
      </c>
      <c r="F9" s="19">
        <f>11110-152</f>
        <v>10958</v>
      </c>
      <c r="G9" s="19">
        <f>10750-177</f>
        <v>10573</v>
      </c>
      <c r="H9" s="19">
        <v>75000</v>
      </c>
      <c r="I9" s="335">
        <v>75000</v>
      </c>
      <c r="J9" s="28"/>
      <c r="K9" s="10"/>
    </row>
    <row r="10" spans="1:256" ht="14.25">
      <c r="A10" s="333" t="s">
        <v>341</v>
      </c>
      <c r="B10" s="334"/>
      <c r="C10" s="103"/>
      <c r="D10" s="55"/>
      <c r="E10" s="19">
        <v>8985</v>
      </c>
      <c r="F10" s="19">
        <v>8080</v>
      </c>
      <c r="G10" s="19">
        <v>9000</v>
      </c>
      <c r="H10" s="19">
        <v>45000</v>
      </c>
      <c r="I10" s="335">
        <v>45000</v>
      </c>
      <c r="J10" s="28"/>
      <c r="K10" s="10"/>
    </row>
    <row r="11" spans="1:256" ht="14.25">
      <c r="A11" s="333" t="s">
        <v>342</v>
      </c>
      <c r="B11" s="334"/>
      <c r="C11" s="103"/>
      <c r="D11" s="55">
        <f>49470+16000+5828+25000</f>
        <v>96298</v>
      </c>
      <c r="E11" s="19">
        <f>7500+25000+4800</f>
        <v>37300</v>
      </c>
      <c r="F11" s="19">
        <v>25000</v>
      </c>
      <c r="G11" s="19">
        <v>25000</v>
      </c>
      <c r="H11" s="19">
        <v>17500</v>
      </c>
      <c r="I11" s="335">
        <v>17500</v>
      </c>
      <c r="J11" s="28"/>
      <c r="K11" s="10"/>
    </row>
    <row r="12" spans="1:256" s="552" customFormat="1" ht="14.25">
      <c r="A12" s="333" t="s">
        <v>342</v>
      </c>
      <c r="B12" s="334"/>
      <c r="C12" s="103"/>
      <c r="D12" s="55"/>
      <c r="E12" s="19"/>
      <c r="F12" s="19"/>
      <c r="G12" s="19"/>
      <c r="H12" s="19">
        <v>68208</v>
      </c>
      <c r="I12" s="335">
        <v>51633</v>
      </c>
      <c r="J12" s="28"/>
      <c r="K12" s="10"/>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s="552" customFormat="1" ht="14.25">
      <c r="A13" s="333" t="s">
        <v>1818</v>
      </c>
      <c r="B13" s="334"/>
      <c r="C13" s="103"/>
      <c r="D13" s="55"/>
      <c r="E13" s="19">
        <v>14000</v>
      </c>
      <c r="F13" s="19">
        <v>14000</v>
      </c>
      <c r="G13" s="19">
        <v>14000</v>
      </c>
      <c r="H13" s="19">
        <v>14000</v>
      </c>
      <c r="I13" s="19">
        <v>14000</v>
      </c>
      <c r="J13" s="28"/>
      <c r="K13" s="10"/>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s="552" customFormat="1" ht="14.25">
      <c r="A14" s="333" t="s">
        <v>1819</v>
      </c>
      <c r="B14" s="334"/>
      <c r="C14" s="103"/>
      <c r="D14" s="55"/>
      <c r="E14" s="19">
        <v>40000</v>
      </c>
      <c r="F14" s="19"/>
      <c r="G14" s="19"/>
      <c r="H14" s="19"/>
      <c r="I14" s="19"/>
      <c r="J14" s="28"/>
      <c r="K14" s="10"/>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ht="14.25">
      <c r="A15" s="333" t="s">
        <v>343</v>
      </c>
      <c r="B15" s="334"/>
      <c r="C15" s="103"/>
      <c r="D15" s="55"/>
      <c r="E15" s="19"/>
      <c r="F15" s="19"/>
      <c r="G15" s="19"/>
      <c r="H15" s="19"/>
      <c r="I15" s="335"/>
      <c r="J15" s="28"/>
      <c r="K15" s="10"/>
    </row>
    <row r="16" spans="1:256" ht="14.25">
      <c r="A16" s="333" t="s">
        <v>344</v>
      </c>
      <c r="B16" s="334"/>
      <c r="C16" s="103"/>
      <c r="D16" s="55">
        <v>2500</v>
      </c>
      <c r="E16" s="19">
        <v>5000</v>
      </c>
      <c r="F16" s="19">
        <v>3000</v>
      </c>
      <c r="G16" s="19">
        <v>3000</v>
      </c>
      <c r="H16" s="19">
        <v>20000</v>
      </c>
      <c r="I16" s="335">
        <v>20000</v>
      </c>
      <c r="J16" s="28"/>
      <c r="K16" s="10"/>
    </row>
    <row r="17" spans="1:11" ht="14.25">
      <c r="A17" s="333" t="s">
        <v>345</v>
      </c>
      <c r="B17" s="334"/>
      <c r="C17" s="103"/>
      <c r="D17" s="55">
        <v>500</v>
      </c>
      <c r="E17" s="19">
        <v>500</v>
      </c>
      <c r="F17" s="19">
        <v>500</v>
      </c>
      <c r="G17" s="19">
        <v>500</v>
      </c>
      <c r="H17" s="19">
        <v>2000</v>
      </c>
      <c r="I17" s="335">
        <v>2000</v>
      </c>
      <c r="J17" s="28"/>
      <c r="K17" s="10"/>
    </row>
    <row r="18" spans="1:11" ht="14.25">
      <c r="A18" s="336" t="s">
        <v>346</v>
      </c>
      <c r="B18" s="334"/>
      <c r="C18" s="103"/>
      <c r="D18" s="55"/>
      <c r="E18" s="19"/>
      <c r="F18" s="19"/>
      <c r="G18" s="19"/>
      <c r="H18" s="19"/>
      <c r="I18" s="335"/>
      <c r="J18" s="28"/>
      <c r="K18" s="10"/>
    </row>
    <row r="19" spans="1:11" ht="14.25">
      <c r="A19" s="333" t="s">
        <v>347</v>
      </c>
      <c r="B19" s="334"/>
      <c r="C19" s="103"/>
      <c r="D19" s="55">
        <v>31437</v>
      </c>
      <c r="E19" s="19">
        <v>81904</v>
      </c>
      <c r="F19" s="19">
        <v>75000</v>
      </c>
      <c r="G19" s="19">
        <v>50000</v>
      </c>
      <c r="H19" s="19">
        <v>50000</v>
      </c>
      <c r="I19" s="335">
        <v>50000</v>
      </c>
      <c r="J19" s="28"/>
      <c r="K19" s="10"/>
    </row>
    <row r="20" spans="1:11" ht="14.25">
      <c r="A20" s="333" t="s">
        <v>348</v>
      </c>
      <c r="B20" s="334"/>
      <c r="C20" s="103"/>
      <c r="D20" s="55"/>
      <c r="E20" s="19"/>
      <c r="F20" s="19"/>
      <c r="G20" s="19"/>
      <c r="H20" s="19"/>
      <c r="I20" s="335"/>
      <c r="J20" s="28"/>
      <c r="K20" s="10"/>
    </row>
    <row r="21" spans="1:11" ht="14.25">
      <c r="A21" s="333" t="s">
        <v>349</v>
      </c>
      <c r="B21" s="334"/>
      <c r="C21" s="103"/>
      <c r="D21" s="55"/>
      <c r="E21" s="19">
        <v>13000</v>
      </c>
      <c r="F21" s="19">
        <v>24000</v>
      </c>
      <c r="G21" s="19">
        <v>30000</v>
      </c>
      <c r="H21" s="19">
        <v>39000</v>
      </c>
      <c r="I21" s="19">
        <v>39000</v>
      </c>
      <c r="J21" s="11"/>
      <c r="K21" s="10"/>
    </row>
    <row r="22" spans="1:11" ht="14.25">
      <c r="A22" s="333" t="s">
        <v>350</v>
      </c>
      <c r="B22" s="334"/>
      <c r="C22" s="103"/>
      <c r="D22" s="55"/>
      <c r="E22" s="19">
        <v>2500</v>
      </c>
      <c r="F22" s="19">
        <v>1000</v>
      </c>
      <c r="G22" s="19">
        <v>1000</v>
      </c>
      <c r="H22" s="19">
        <v>2000</v>
      </c>
      <c r="I22" s="335">
        <v>2000</v>
      </c>
      <c r="J22" s="28"/>
      <c r="K22" s="10"/>
    </row>
    <row r="23" spans="1:11" ht="14.25">
      <c r="A23" s="336" t="s">
        <v>351</v>
      </c>
      <c r="B23" s="334"/>
      <c r="C23" s="103"/>
      <c r="D23" s="55">
        <v>5000</v>
      </c>
      <c r="E23" s="19">
        <f>31894+15000+20000</f>
        <v>66894</v>
      </c>
      <c r="F23" s="19">
        <f>25000+15000+20000</f>
        <v>60000</v>
      </c>
      <c r="G23" s="19">
        <f>25000+15000+20000</f>
        <v>60000</v>
      </c>
      <c r="H23" s="19">
        <f>50000+15000</f>
        <v>65000</v>
      </c>
      <c r="I23" s="335">
        <f>55000+15000</f>
        <v>70000</v>
      </c>
      <c r="J23" s="28"/>
      <c r="K23" s="10"/>
    </row>
    <row r="24" spans="1:11" ht="14.25">
      <c r="A24" s="333" t="s">
        <v>347</v>
      </c>
      <c r="B24" s="334"/>
      <c r="C24" s="103"/>
      <c r="D24" s="55"/>
      <c r="E24" s="19"/>
      <c r="F24" s="19"/>
      <c r="G24" s="19"/>
      <c r="H24" s="19"/>
      <c r="I24" s="335"/>
      <c r="J24" s="28"/>
      <c r="K24" s="10"/>
    </row>
    <row r="25" spans="1:11" ht="15" thickBot="1">
      <c r="A25" s="337" t="s">
        <v>352</v>
      </c>
      <c r="B25" s="338"/>
      <c r="C25" s="103"/>
      <c r="D25" s="57">
        <v>3000</v>
      </c>
      <c r="E25" s="339">
        <v>4036</v>
      </c>
      <c r="F25" s="339">
        <v>2500</v>
      </c>
      <c r="G25" s="339">
        <v>2500</v>
      </c>
      <c r="H25" s="339">
        <v>4000</v>
      </c>
      <c r="I25" s="340">
        <v>4000</v>
      </c>
      <c r="J25" s="28"/>
      <c r="K25" s="10"/>
    </row>
    <row r="26" spans="1:11" ht="15" thickBot="1">
      <c r="A26" s="289" t="s">
        <v>353</v>
      </c>
      <c r="B26" s="341"/>
      <c r="C26" s="103"/>
      <c r="D26" s="342">
        <f>SUM(D5:D25)</f>
        <v>145735</v>
      </c>
      <c r="E26" s="342">
        <f t="shared" ref="E26:I26" si="0">SUM(E5:E25)</f>
        <v>336145</v>
      </c>
      <c r="F26" s="342">
        <f t="shared" si="0"/>
        <v>279038</v>
      </c>
      <c r="G26" s="342">
        <f t="shared" si="0"/>
        <v>263773</v>
      </c>
      <c r="H26" s="342">
        <f t="shared" si="0"/>
        <v>526708</v>
      </c>
      <c r="I26" s="343">
        <f t="shared" si="0"/>
        <v>530133</v>
      </c>
      <c r="J26" s="21"/>
      <c r="K26" s="98"/>
    </row>
    <row r="27" spans="1:11" ht="14.25">
      <c r="A27" s="344"/>
      <c r="B27" s="345"/>
      <c r="C27" s="245"/>
      <c r="D27" s="346"/>
      <c r="E27" s="240"/>
      <c r="F27" s="240"/>
      <c r="G27" s="240"/>
      <c r="H27" s="240"/>
      <c r="I27" s="240"/>
      <c r="J27" s="10"/>
      <c r="K27" s="10"/>
    </row>
    <row r="28" spans="1:11" ht="14.25">
      <c r="A28" s="566" t="s">
        <v>1823</v>
      </c>
      <c r="B28" s="348"/>
      <c r="C28" s="103"/>
      <c r="D28" s="331"/>
      <c r="E28" s="568">
        <v>23096.931026400005</v>
      </c>
      <c r="F28" s="568">
        <v>42520.136392800006</v>
      </c>
      <c r="G28" s="568">
        <v>61943.341759199997</v>
      </c>
      <c r="H28" s="568">
        <v>69889.198499999999</v>
      </c>
      <c r="I28" s="569">
        <v>69889.198499999999</v>
      </c>
      <c r="J28" s="28"/>
      <c r="K28" s="10"/>
    </row>
    <row r="29" spans="1:11" ht="14.25">
      <c r="A29" s="567" t="s">
        <v>1822</v>
      </c>
      <c r="B29" s="350"/>
      <c r="C29" s="103"/>
      <c r="D29" s="55"/>
      <c r="E29" s="570">
        <v>41507.452799999999</v>
      </c>
      <c r="F29" s="570">
        <v>83014.905599999998</v>
      </c>
      <c r="G29" s="570">
        <v>124522.35840000001</v>
      </c>
      <c r="H29" s="570">
        <v>141502.68</v>
      </c>
      <c r="I29" s="571">
        <v>141502.68</v>
      </c>
      <c r="J29" s="551"/>
      <c r="K29" s="10"/>
    </row>
    <row r="30" spans="1:11" ht="14.25">
      <c r="A30" s="349"/>
      <c r="B30" s="350"/>
      <c r="C30" s="103"/>
      <c r="D30" s="55"/>
      <c r="E30" s="19"/>
      <c r="F30" s="19"/>
      <c r="G30" s="19"/>
      <c r="H30" s="19"/>
      <c r="I30" s="335"/>
      <c r="J30" s="28"/>
      <c r="K30" s="10"/>
    </row>
    <row r="31" spans="1:11" ht="14.25">
      <c r="A31" s="349"/>
      <c r="B31" s="350"/>
      <c r="C31" s="103"/>
      <c r="D31" s="55"/>
      <c r="E31" s="19"/>
      <c r="F31" s="19"/>
      <c r="G31" s="19"/>
      <c r="H31" s="19"/>
      <c r="I31" s="335"/>
      <c r="J31" s="28"/>
      <c r="K31" s="10"/>
    </row>
    <row r="32" spans="1:11" ht="14.25">
      <c r="A32" s="349"/>
      <c r="B32" s="350"/>
      <c r="C32" s="103"/>
      <c r="D32" s="55"/>
      <c r="E32" s="19"/>
      <c r="F32" s="19"/>
      <c r="G32" s="19"/>
      <c r="H32" s="19"/>
      <c r="I32" s="335"/>
      <c r="J32" s="28"/>
      <c r="K32" s="10"/>
    </row>
    <row r="33" spans="1:11" ht="14.25">
      <c r="A33" s="349"/>
      <c r="B33" s="350"/>
      <c r="C33" s="103"/>
      <c r="D33" s="55"/>
      <c r="E33" s="19"/>
      <c r="F33" s="19"/>
      <c r="G33" s="19"/>
      <c r="H33" s="19"/>
      <c r="I33" s="335"/>
      <c r="J33" s="28"/>
      <c r="K33" s="10"/>
    </row>
    <row r="34" spans="1:11" ht="14.25">
      <c r="A34" s="349"/>
      <c r="B34" s="350"/>
      <c r="C34" s="103"/>
      <c r="D34" s="55"/>
      <c r="E34" s="19"/>
      <c r="F34" s="19"/>
      <c r="G34" s="19"/>
      <c r="H34" s="19"/>
      <c r="I34" s="335"/>
      <c r="J34" s="28"/>
      <c r="K34" s="10"/>
    </row>
    <row r="35" spans="1:11" ht="14.25">
      <c r="A35" s="349"/>
      <c r="B35" s="350"/>
      <c r="C35" s="103"/>
      <c r="D35" s="55"/>
      <c r="E35" s="19"/>
      <c r="F35" s="19"/>
      <c r="G35" s="19"/>
      <c r="H35" s="19"/>
      <c r="I35" s="335"/>
      <c r="J35" s="28"/>
      <c r="K35" s="10"/>
    </row>
    <row r="36" spans="1:11" ht="14.25">
      <c r="A36" s="349"/>
      <c r="B36" s="350"/>
      <c r="C36" s="103"/>
      <c r="D36" s="55"/>
      <c r="E36" s="19"/>
      <c r="F36" s="19"/>
      <c r="G36" s="19"/>
      <c r="H36" s="19"/>
      <c r="I36" s="335"/>
      <c r="J36" s="28"/>
      <c r="K36" s="10"/>
    </row>
    <row r="37" spans="1:11" ht="14.25">
      <c r="A37" s="351"/>
      <c r="B37" s="352"/>
      <c r="C37" s="103"/>
      <c r="D37" s="57"/>
      <c r="E37" s="339"/>
      <c r="F37" s="339"/>
      <c r="G37" s="339"/>
      <c r="H37" s="339"/>
      <c r="I37" s="340"/>
      <c r="J37" s="28"/>
      <c r="K37" s="10"/>
    </row>
    <row r="38" spans="1:11" ht="14.25">
      <c r="A38" s="289" t="s">
        <v>354</v>
      </c>
      <c r="B38" s="341"/>
      <c r="C38" s="103"/>
      <c r="D38" s="342">
        <f>SUM(D28:D37)</f>
        <v>0</v>
      </c>
      <c r="E38" s="342">
        <f t="shared" ref="E38:I38" si="1">SUM(E28:E37)</f>
        <v>64604.383826400008</v>
      </c>
      <c r="F38" s="342">
        <f t="shared" si="1"/>
        <v>125535.0419928</v>
      </c>
      <c r="G38" s="342">
        <f t="shared" si="1"/>
        <v>186465.7001592</v>
      </c>
      <c r="H38" s="342">
        <f t="shared" si="1"/>
        <v>211391.87849999999</v>
      </c>
      <c r="I38" s="343">
        <f t="shared" si="1"/>
        <v>211391.87849999999</v>
      </c>
      <c r="J38" s="11"/>
      <c r="K38" s="10"/>
    </row>
    <row r="39" spans="1:11" ht="14.25">
      <c r="A39" s="344"/>
      <c r="B39" s="344"/>
      <c r="C39" s="98"/>
      <c r="D39" s="346"/>
      <c r="E39" s="240"/>
      <c r="F39" s="240"/>
      <c r="G39" s="240"/>
      <c r="H39" s="240"/>
      <c r="I39" s="240"/>
      <c r="J39" s="10"/>
      <c r="K39" s="10"/>
    </row>
    <row r="40" spans="1:11" ht="14.25">
      <c r="A40" s="289" t="s">
        <v>355</v>
      </c>
      <c r="B40" s="341"/>
      <c r="C40" s="103"/>
      <c r="D40" s="343">
        <f t="shared" ref="D40:I40" si="2">D38+D26</f>
        <v>145735</v>
      </c>
      <c r="E40" s="353">
        <f t="shared" si="2"/>
        <v>400749.38382640004</v>
      </c>
      <c r="F40" s="353">
        <f t="shared" si="2"/>
        <v>404573.04199280002</v>
      </c>
      <c r="G40" s="353">
        <f t="shared" si="2"/>
        <v>450238.7001592</v>
      </c>
      <c r="H40" s="353">
        <f t="shared" si="2"/>
        <v>738099.87849999999</v>
      </c>
      <c r="I40" s="354">
        <f t="shared" si="2"/>
        <v>741524.87849999999</v>
      </c>
      <c r="J40" s="28"/>
      <c r="K40" s="10"/>
    </row>
    <row r="41" spans="1:11" ht="14.25">
      <c r="A41" s="92"/>
      <c r="B41" s="92"/>
      <c r="C41" s="98"/>
      <c r="D41" s="92"/>
      <c r="E41" s="107"/>
      <c r="F41" s="107"/>
      <c r="G41" s="107"/>
      <c r="H41" s="107"/>
      <c r="I41" s="107"/>
      <c r="J41" s="10"/>
      <c r="K41" s="10"/>
    </row>
    <row r="42" spans="1:11" ht="14.25">
      <c r="A42" s="10"/>
      <c r="B42" s="10"/>
      <c r="C42" s="98"/>
      <c r="D42" s="10"/>
      <c r="E42" s="98"/>
      <c r="F42" s="98"/>
      <c r="G42" s="98"/>
      <c r="H42" s="98"/>
      <c r="I42" s="98"/>
      <c r="J42" s="10"/>
      <c r="K42" s="10"/>
    </row>
    <row r="43" spans="1:11" ht="14.25">
      <c r="A43" s="10"/>
      <c r="B43" s="10"/>
      <c r="C43" s="98"/>
      <c r="D43" s="10"/>
      <c r="E43" s="98"/>
      <c r="F43" s="98"/>
      <c r="G43" s="98"/>
      <c r="H43" s="98"/>
      <c r="I43" s="98"/>
      <c r="J43" s="10"/>
      <c r="K43" s="10"/>
    </row>
    <row r="44" spans="1:11" ht="14.25">
      <c r="A44" s="10"/>
      <c r="B44" s="10"/>
      <c r="C44" s="98"/>
      <c r="D44" s="10"/>
      <c r="E44" s="98"/>
      <c r="F44" s="98"/>
      <c r="G44" s="98"/>
      <c r="H44" s="98"/>
      <c r="I44" s="98"/>
      <c r="J44" s="10"/>
      <c r="K44" s="10"/>
    </row>
    <row r="45" spans="1:11" ht="14.25">
      <c r="A45" s="10"/>
      <c r="B45" s="10"/>
      <c r="C45" s="98"/>
      <c r="D45" s="10"/>
      <c r="E45" s="98"/>
      <c r="F45" s="98"/>
      <c r="G45" s="98"/>
      <c r="H45" s="98"/>
      <c r="I45" s="98"/>
      <c r="J45" s="10"/>
      <c r="K45" s="10"/>
    </row>
    <row r="46" spans="1:11" ht="14.25">
      <c r="A46" s="10"/>
      <c r="B46" s="10"/>
      <c r="C46" s="98"/>
      <c r="D46" s="10"/>
      <c r="E46" s="98"/>
      <c r="F46" s="98"/>
      <c r="G46" s="98"/>
      <c r="H46" s="98"/>
      <c r="I46" s="98"/>
      <c r="J46" s="10"/>
      <c r="K46" s="10"/>
    </row>
    <row r="47" spans="1:11" ht="14.25">
      <c r="A47" s="10"/>
      <c r="B47" s="10"/>
      <c r="C47" s="98"/>
      <c r="D47" s="10"/>
      <c r="E47" s="98"/>
      <c r="F47" s="98"/>
      <c r="G47" s="98"/>
      <c r="H47" s="98"/>
      <c r="I47" s="98"/>
      <c r="J47" s="10"/>
      <c r="K47" s="10"/>
    </row>
    <row r="48" spans="1:11" ht="14.25">
      <c r="A48" s="10"/>
      <c r="B48" s="10"/>
      <c r="C48" s="98"/>
      <c r="D48" s="10"/>
      <c r="E48" s="98"/>
      <c r="F48" s="98"/>
      <c r="G48" s="98"/>
      <c r="H48" s="98"/>
      <c r="I48" s="98"/>
      <c r="J48" s="10"/>
      <c r="K48" s="10"/>
    </row>
    <row r="49" spans="1:11" ht="14.25">
      <c r="A49" s="10"/>
      <c r="B49" s="10"/>
      <c r="C49" s="98"/>
      <c r="D49" s="10"/>
      <c r="E49" s="98"/>
      <c r="F49" s="98"/>
      <c r="G49" s="98"/>
      <c r="H49" s="98"/>
      <c r="I49" s="98"/>
      <c r="J49" s="10"/>
      <c r="K49" s="10"/>
    </row>
    <row r="50" spans="1:11" ht="14.25">
      <c r="A50" s="10"/>
      <c r="B50" s="10"/>
      <c r="C50" s="98"/>
      <c r="D50" s="10"/>
      <c r="E50" s="98"/>
      <c r="F50" s="98"/>
      <c r="G50" s="98"/>
      <c r="H50" s="98"/>
      <c r="I50" s="98"/>
      <c r="J50" s="10"/>
      <c r="K50" s="10"/>
    </row>
  </sheetData>
  <sheetProtection password="C112" sheet="1" objects="1" scenarios="1"/>
  <mergeCells count="1">
    <mergeCell ref="A4:B4"/>
  </mergeCells>
  <pageMargins left="0.20000004800000001" right="0.20000004800000001" top="0.75" bottom="0.75" header="0.30000001192092901" footer="0.30000001192092901"/>
  <pageSetup scale="73" orientation="landscape" useFirstPageNumber="1" r:id="rId1"/>
  <headerFooter alignWithMargins="0">
    <oddFooter>&amp;C&amp;"Arial,Regular"&amp;22DRAFT - DO NOT DISTRIBUTE</oddFooter>
  </headerFooter>
</worksheet>
</file>

<file path=xl/worksheets/sheet7.xml><?xml version="1.0" encoding="utf-8"?>
<worksheet xmlns="http://schemas.openxmlformats.org/spreadsheetml/2006/main" xmlns:r="http://schemas.openxmlformats.org/officeDocument/2006/relationships">
  <dimension ref="A1:IW29"/>
  <sheetViews>
    <sheetView showGridLines="0" workbookViewId="0">
      <selection activeCell="G32" sqref="G32"/>
    </sheetView>
  </sheetViews>
  <sheetFormatPr defaultColWidth="11" defaultRowHeight="20.100000000000001" customHeight="1"/>
  <cols>
    <col min="1" max="1" width="1.875" style="554" customWidth="1"/>
    <col min="2" max="3" width="31.75" style="5" customWidth="1"/>
    <col min="4" max="4" width="1.5" style="5" customWidth="1"/>
    <col min="5" max="5" width="16.875" style="5" customWidth="1"/>
    <col min="6" max="6" width="16.125" style="5" customWidth="1"/>
    <col min="7" max="7" width="15.5" style="5" customWidth="1"/>
    <col min="8" max="10" width="15.75" style="5" customWidth="1"/>
    <col min="11" max="257" width="10.25" style="5" customWidth="1"/>
  </cols>
  <sheetData>
    <row r="1" spans="2:257" ht="11.25" customHeight="1" thickBot="1">
      <c r="B1" s="77"/>
      <c r="C1" s="77"/>
      <c r="D1" s="104"/>
      <c r="E1" s="77"/>
      <c r="F1" s="104"/>
      <c r="G1" s="104"/>
      <c r="H1" s="104"/>
      <c r="I1" s="104"/>
      <c r="J1" s="104"/>
    </row>
    <row r="2" spans="2:257" ht="18.75" thickBot="1">
      <c r="B2" s="642" t="str">
        <f>Assumptions!C2</f>
        <v>DCIS 6-12</v>
      </c>
      <c r="C2" s="643"/>
      <c r="D2" s="643"/>
      <c r="E2" s="643"/>
      <c r="F2" s="643"/>
      <c r="G2" s="643"/>
      <c r="H2" s="643"/>
      <c r="I2" s="643"/>
      <c r="J2" s="644"/>
    </row>
    <row r="3" spans="2:257" ht="15" thickBot="1">
      <c r="B3" s="90"/>
      <c r="C3" s="90"/>
      <c r="D3" s="107"/>
      <c r="E3" s="90"/>
      <c r="F3" s="186"/>
      <c r="G3" s="186"/>
      <c r="H3" s="186"/>
      <c r="I3" s="186"/>
      <c r="J3" s="186"/>
    </row>
    <row r="4" spans="2:257" ht="14.25">
      <c r="B4" s="640" t="s">
        <v>335</v>
      </c>
      <c r="C4" s="641"/>
      <c r="D4" s="325"/>
      <c r="E4" s="326" t="s">
        <v>150</v>
      </c>
      <c r="F4" s="326" t="s">
        <v>151</v>
      </c>
      <c r="G4" s="326" t="s">
        <v>152</v>
      </c>
      <c r="H4" s="326" t="s">
        <v>153</v>
      </c>
      <c r="I4" s="326" t="s">
        <v>154</v>
      </c>
      <c r="J4" s="326" t="s">
        <v>155</v>
      </c>
    </row>
    <row r="5" spans="2:257" ht="9" customHeight="1">
      <c r="B5" s="344"/>
      <c r="C5" s="344"/>
      <c r="D5" s="98"/>
      <c r="E5" s="346"/>
      <c r="F5" s="186"/>
      <c r="G5" s="186"/>
      <c r="H5" s="186"/>
      <c r="I5" s="186"/>
      <c r="J5" s="186"/>
    </row>
    <row r="6" spans="2:257" ht="15.75" customHeight="1" thickBot="1">
      <c r="B6" s="355" t="s">
        <v>1828</v>
      </c>
      <c r="C6" s="356"/>
      <c r="D6" s="357"/>
      <c r="E6" s="358">
        <f>'Revenue - Table 1'!D49</f>
        <v>308412</v>
      </c>
      <c r="F6" s="358">
        <f>'Revenue - Table 1'!E49</f>
        <v>2450592.3838264002</v>
      </c>
      <c r="G6" s="358">
        <f>'Revenue - Table 1'!F49</f>
        <v>3417829.9019928006</v>
      </c>
      <c r="H6" s="358">
        <f>'Revenue - Table 1'!G49</f>
        <v>4212348.0687592002</v>
      </c>
      <c r="I6" s="358">
        <f>'Revenue - Table 1'!H49</f>
        <v>4768381.4207859999</v>
      </c>
      <c r="J6" s="358">
        <f>'Revenue - Table 1'!I49</f>
        <v>4804863.2762088599</v>
      </c>
    </row>
    <row r="7" spans="2:257" ht="9" customHeight="1" thickBot="1">
      <c r="B7" s="360"/>
      <c r="C7" s="360"/>
      <c r="D7" s="98"/>
      <c r="E7" s="361"/>
      <c r="F7" s="107"/>
      <c r="G7" s="107"/>
      <c r="H7" s="107"/>
      <c r="I7" s="107"/>
      <c r="J7" s="107"/>
    </row>
    <row r="8" spans="2:257" ht="15" customHeight="1">
      <c r="B8" s="364" t="s">
        <v>359</v>
      </c>
      <c r="C8" s="330"/>
      <c r="D8" s="579"/>
      <c r="E8" s="365">
        <f>'Staffing Tool - Table 1'!P62</f>
        <v>162677</v>
      </c>
      <c r="F8" s="366">
        <f>'Staffing Tool - Table 1'!S62</f>
        <v>296738</v>
      </c>
      <c r="G8" s="366">
        <f>'Staffing Tool - Table 1'!V62</f>
        <v>299705</v>
      </c>
      <c r="H8" s="366">
        <f>'Staffing Tool - Table 1'!Y62</f>
        <v>302703</v>
      </c>
      <c r="I8" s="366">
        <f>'Staffing Tool - Table 1'!AB62</f>
        <v>305730</v>
      </c>
      <c r="J8" s="367">
        <f>'Staffing Tool - Table 1'!AE62</f>
        <v>308787</v>
      </c>
    </row>
    <row r="9" spans="2:257" ht="15" customHeight="1">
      <c r="B9" s="336" t="s">
        <v>360</v>
      </c>
      <c r="C9" s="334"/>
      <c r="D9" s="579"/>
      <c r="E9" s="368">
        <f>'Staffing Tool - Table 1'!P38</f>
        <v>0</v>
      </c>
      <c r="F9" s="369">
        <f>'Staffing Tool - Table 1'!S38</f>
        <v>841147</v>
      </c>
      <c r="G9" s="369">
        <f>'Staffing Tool - Table 1'!V38</f>
        <v>1849096</v>
      </c>
      <c r="H9" s="369">
        <f>'Staffing Tool - Table 1'!Y38</f>
        <v>2557222</v>
      </c>
      <c r="I9" s="369">
        <f>'Staffing Tool - Table 1'!AB38</f>
        <v>2820593</v>
      </c>
      <c r="J9" s="370">
        <f>'Staffing Tool - Table 1'!AE38</f>
        <v>2848799</v>
      </c>
    </row>
    <row r="10" spans="2:257" ht="15" customHeight="1">
      <c r="B10" s="336" t="s">
        <v>361</v>
      </c>
      <c r="C10" s="334"/>
      <c r="D10" s="579"/>
      <c r="E10" s="368">
        <f>'Staffing Tool - Table 1'!P55</f>
        <v>0</v>
      </c>
      <c r="F10" s="369">
        <f>'Staffing Tool - Table 1'!S55</f>
        <v>850944</v>
      </c>
      <c r="G10" s="369">
        <f>'Staffing Tool - Table 1'!V55</f>
        <v>802832</v>
      </c>
      <c r="H10" s="369">
        <f>'Staffing Tool - Table 1'!Y55</f>
        <v>803615</v>
      </c>
      <c r="I10" s="369">
        <f>'Staffing Tool - Table 1'!AB55</f>
        <v>804405</v>
      </c>
      <c r="J10" s="370">
        <f>'Staffing Tool - Table 1'!AE55</f>
        <v>805202</v>
      </c>
    </row>
    <row r="11" spans="2:257" ht="15" customHeight="1" thickBot="1">
      <c r="B11" s="337" t="s">
        <v>362</v>
      </c>
      <c r="C11" s="338"/>
      <c r="D11" s="579"/>
      <c r="E11" s="368">
        <f>'Staffing Tool - Table 1'!P77</f>
        <v>0</v>
      </c>
      <c r="F11" s="369">
        <f>'Staffing Tool - Table 1'!S77</f>
        <v>39198</v>
      </c>
      <c r="G11" s="369">
        <f>'Staffing Tool - Table 1'!V77</f>
        <v>39590</v>
      </c>
      <c r="H11" s="369">
        <f>'Staffing Tool - Table 1'!Y77</f>
        <v>76314</v>
      </c>
      <c r="I11" s="369">
        <f>'Staffing Tool - Table 1'!AB77</f>
        <v>77077</v>
      </c>
      <c r="J11" s="370">
        <f>'Staffing Tool - Table 1'!AE77</f>
        <v>77848</v>
      </c>
    </row>
    <row r="12" spans="2:257" s="554" customFormat="1" ht="15" customHeight="1" thickBot="1">
      <c r="B12" s="574" t="s">
        <v>1825</v>
      </c>
      <c r="C12" s="565"/>
      <c r="D12" s="579"/>
      <c r="E12" s="368"/>
      <c r="F12" s="369">
        <f>'Non-Salary - Table 1'!E38</f>
        <v>64604.383826400008</v>
      </c>
      <c r="G12" s="369">
        <f>'Non-Salary - Table 1'!F38</f>
        <v>125535.0419928</v>
      </c>
      <c r="H12" s="369">
        <f>'Non-Salary - Table 1'!G38</f>
        <v>186465.7001592</v>
      </c>
      <c r="I12" s="369">
        <f>'Non-Salary - Table 1'!H38</f>
        <v>211391.87849999999</v>
      </c>
      <c r="J12" s="370">
        <f>'Non-Salary - Table 1'!I38</f>
        <v>211391.87849999999</v>
      </c>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row>
    <row r="13" spans="2:257" ht="15" thickBot="1">
      <c r="B13" s="289" t="s">
        <v>1824</v>
      </c>
      <c r="C13" s="341"/>
      <c r="D13" s="579"/>
      <c r="E13" s="581">
        <f t="shared" ref="E13" si="0">SUM(E8:E11)</f>
        <v>162677</v>
      </c>
      <c r="F13" s="582">
        <f>SUM(F8:F12)</f>
        <v>2092631.3838263999</v>
      </c>
      <c r="G13" s="582">
        <f t="shared" ref="G13:J13" si="1">SUM(G8:G12)</f>
        <v>3116758.0419927998</v>
      </c>
      <c r="H13" s="582">
        <f t="shared" si="1"/>
        <v>3926319.7001592</v>
      </c>
      <c r="I13" s="582">
        <f t="shared" si="1"/>
        <v>4219196.8784999996</v>
      </c>
      <c r="J13" s="583">
        <f t="shared" si="1"/>
        <v>4252027.8784999996</v>
      </c>
    </row>
    <row r="14" spans="2:257" ht="17.25" customHeight="1" thickBot="1">
      <c r="B14" s="289" t="s">
        <v>364</v>
      </c>
      <c r="C14" s="341"/>
      <c r="D14" s="579"/>
      <c r="E14" s="581">
        <f>'Staffing Tool - Table 1'!P19</f>
        <v>0</v>
      </c>
      <c r="F14" s="582">
        <f>'Staffing Tool - Table 1'!S19</f>
        <v>21816</v>
      </c>
      <c r="G14" s="582">
        <f>'Staffing Tool - Table 1'!V19</f>
        <v>22034</v>
      </c>
      <c r="H14" s="582">
        <f>'Staffing Tool - Table 1'!Y19</f>
        <v>22255</v>
      </c>
      <c r="I14" s="582">
        <f>'Staffing Tool - Table 1'!AB19</f>
        <v>22477</v>
      </c>
      <c r="J14" s="583">
        <f>'Staffing Tool - Table 1'!AE19</f>
        <v>22702</v>
      </c>
    </row>
    <row r="15" spans="2:257" s="554" customFormat="1" ht="17.25" customHeight="1" thickBot="1">
      <c r="B15" s="289" t="s">
        <v>1826</v>
      </c>
      <c r="C15" s="341"/>
      <c r="D15" s="579"/>
      <c r="E15" s="581"/>
      <c r="F15" s="582">
        <f>F14+F13</f>
        <v>2114447.3838264002</v>
      </c>
      <c r="G15" s="582">
        <f>G14+G13</f>
        <v>3138792.0419927998</v>
      </c>
      <c r="H15" s="582">
        <f>H14+H13</f>
        <v>3948574.7001592</v>
      </c>
      <c r="I15" s="582">
        <f>I14+I13</f>
        <v>4241673.8784999996</v>
      </c>
      <c r="J15" s="583">
        <f>J14+J13</f>
        <v>4274729.8784999996</v>
      </c>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row>
    <row r="16" spans="2:257" ht="15" thickBot="1">
      <c r="B16" s="289" t="s">
        <v>353</v>
      </c>
      <c r="C16" s="341"/>
      <c r="D16" s="579"/>
      <c r="E16" s="581">
        <f>'Non-Salary - Table 1'!D40</f>
        <v>145735</v>
      </c>
      <c r="F16" s="582">
        <f>'Non-Salary - Table 1'!E26</f>
        <v>336145</v>
      </c>
      <c r="G16" s="582">
        <f>'Non-Salary - Table 1'!F26</f>
        <v>279038</v>
      </c>
      <c r="H16" s="582">
        <f>'Non-Salary - Table 1'!G26</f>
        <v>263773</v>
      </c>
      <c r="I16" s="582">
        <f>'Non-Salary - Table 1'!H26</f>
        <v>526708</v>
      </c>
      <c r="J16" s="583">
        <f>'Non-Salary - Table 1'!I26</f>
        <v>530133</v>
      </c>
    </row>
    <row r="17" spans="2:257" s="554" customFormat="1" ht="15" thickBot="1">
      <c r="B17" s="572" t="s">
        <v>1827</v>
      </c>
      <c r="C17" s="573"/>
      <c r="D17" s="406"/>
      <c r="E17" s="581">
        <f>E16+E13</f>
        <v>308412</v>
      </c>
      <c r="F17" s="582">
        <f>F16+F15</f>
        <v>2450592.3838264002</v>
      </c>
      <c r="G17" s="582">
        <f>G16+G15</f>
        <v>3417830.0419927998</v>
      </c>
      <c r="H17" s="582">
        <f>H16+H15</f>
        <v>4212347.7001591995</v>
      </c>
      <c r="I17" s="582">
        <f>I16+I15</f>
        <v>4768381.8784999996</v>
      </c>
      <c r="J17" s="583">
        <f>J16+J15</f>
        <v>4804862.8784999996</v>
      </c>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row>
    <row r="18" spans="2:257" ht="15" thickBot="1">
      <c r="B18" s="371" t="s">
        <v>355</v>
      </c>
      <c r="C18" s="372"/>
      <c r="D18" s="580"/>
      <c r="E18" s="584">
        <f t="shared" ref="E18:J18" si="2">E6-E17</f>
        <v>0</v>
      </c>
      <c r="F18" s="585">
        <f t="shared" si="2"/>
        <v>0</v>
      </c>
      <c r="G18" s="585">
        <f t="shared" si="2"/>
        <v>-0.13999999919906259</v>
      </c>
      <c r="H18" s="585">
        <f t="shared" si="2"/>
        <v>0.36860000062733889</v>
      </c>
      <c r="I18" s="585">
        <f t="shared" si="2"/>
        <v>-0.45771399978548288</v>
      </c>
      <c r="J18" s="586">
        <f t="shared" si="2"/>
        <v>0.39770886022597551</v>
      </c>
    </row>
    <row r="19" spans="2:257" s="578" customFormat="1" ht="14.25">
      <c r="B19" s="575"/>
      <c r="C19" s="575"/>
      <c r="D19" s="391"/>
      <c r="E19" s="575"/>
      <c r="F19" s="576"/>
      <c r="G19" s="576"/>
      <c r="H19" s="576"/>
      <c r="I19" s="576"/>
      <c r="J19" s="576"/>
      <c r="K19" s="577"/>
      <c r="L19" s="577"/>
      <c r="M19" s="577"/>
      <c r="N19" s="577"/>
      <c r="O19" s="577"/>
      <c r="P19" s="577"/>
      <c r="Q19" s="577"/>
      <c r="R19" s="577"/>
      <c r="S19" s="577"/>
      <c r="T19" s="577"/>
      <c r="U19" s="577"/>
      <c r="V19" s="577"/>
      <c r="W19" s="577"/>
      <c r="X19" s="577"/>
      <c r="Y19" s="577"/>
      <c r="Z19" s="577"/>
      <c r="AA19" s="577"/>
      <c r="AB19" s="577"/>
      <c r="AC19" s="577"/>
      <c r="AD19" s="577"/>
      <c r="AE19" s="577"/>
      <c r="AF19" s="577"/>
      <c r="AG19" s="577"/>
      <c r="AH19" s="577"/>
      <c r="AI19" s="577"/>
      <c r="AJ19" s="577"/>
      <c r="AK19" s="577"/>
      <c r="AL19" s="577"/>
      <c r="AM19" s="577"/>
      <c r="AN19" s="577"/>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c r="BR19" s="577"/>
      <c r="BS19" s="577"/>
      <c r="BT19" s="577"/>
      <c r="BU19" s="577"/>
      <c r="BV19" s="577"/>
      <c r="BW19" s="577"/>
      <c r="BX19" s="577"/>
      <c r="BY19" s="577"/>
      <c r="BZ19" s="577"/>
      <c r="CA19" s="577"/>
      <c r="CB19" s="577"/>
      <c r="CC19" s="577"/>
      <c r="CD19" s="577"/>
      <c r="CE19" s="577"/>
      <c r="CF19" s="577"/>
      <c r="CG19" s="577"/>
      <c r="CH19" s="577"/>
      <c r="CI19" s="577"/>
      <c r="CJ19" s="577"/>
      <c r="CK19" s="577"/>
      <c r="CL19" s="577"/>
      <c r="CM19" s="577"/>
      <c r="CN19" s="577"/>
      <c r="CO19" s="577"/>
      <c r="CP19" s="577"/>
      <c r="CQ19" s="577"/>
      <c r="CR19" s="577"/>
      <c r="CS19" s="577"/>
      <c r="CT19" s="577"/>
      <c r="CU19" s="577"/>
      <c r="CV19" s="577"/>
      <c r="CW19" s="577"/>
      <c r="CX19" s="577"/>
      <c r="CY19" s="577"/>
      <c r="CZ19" s="577"/>
      <c r="DA19" s="577"/>
      <c r="DB19" s="577"/>
      <c r="DC19" s="577"/>
      <c r="DD19" s="577"/>
      <c r="DE19" s="577"/>
      <c r="DF19" s="577"/>
      <c r="DG19" s="577"/>
      <c r="DH19" s="577"/>
      <c r="DI19" s="577"/>
      <c r="DJ19" s="577"/>
      <c r="DK19" s="577"/>
      <c r="DL19" s="577"/>
      <c r="DM19" s="577"/>
      <c r="DN19" s="577"/>
      <c r="DO19" s="577"/>
      <c r="DP19" s="577"/>
      <c r="DQ19" s="577"/>
      <c r="DR19" s="577"/>
      <c r="DS19" s="577"/>
      <c r="DT19" s="577"/>
      <c r="DU19" s="577"/>
      <c r="DV19" s="577"/>
      <c r="DW19" s="577"/>
      <c r="DX19" s="577"/>
      <c r="DY19" s="577"/>
      <c r="DZ19" s="577"/>
      <c r="EA19" s="577"/>
      <c r="EB19" s="577"/>
      <c r="EC19" s="577"/>
      <c r="ED19" s="577"/>
      <c r="EE19" s="577"/>
      <c r="EF19" s="577"/>
      <c r="EG19" s="577"/>
      <c r="EH19" s="577"/>
      <c r="EI19" s="577"/>
      <c r="EJ19" s="577"/>
      <c r="EK19" s="577"/>
      <c r="EL19" s="577"/>
      <c r="EM19" s="577"/>
      <c r="EN19" s="577"/>
      <c r="EO19" s="577"/>
      <c r="EP19" s="577"/>
      <c r="EQ19" s="577"/>
      <c r="ER19" s="577"/>
      <c r="ES19" s="577"/>
      <c r="ET19" s="577"/>
      <c r="EU19" s="577"/>
      <c r="EV19" s="577"/>
      <c r="EW19" s="577"/>
      <c r="EX19" s="577"/>
      <c r="EY19" s="577"/>
      <c r="EZ19" s="577"/>
      <c r="FA19" s="577"/>
      <c r="FB19" s="577"/>
      <c r="FC19" s="577"/>
      <c r="FD19" s="577"/>
      <c r="FE19" s="577"/>
      <c r="FF19" s="577"/>
      <c r="FG19" s="577"/>
      <c r="FH19" s="577"/>
      <c r="FI19" s="577"/>
      <c r="FJ19" s="577"/>
      <c r="FK19" s="577"/>
      <c r="FL19" s="577"/>
      <c r="FM19" s="577"/>
      <c r="FN19" s="577"/>
      <c r="FO19" s="577"/>
      <c r="FP19" s="577"/>
      <c r="FQ19" s="577"/>
      <c r="FR19" s="577"/>
      <c r="FS19" s="577"/>
      <c r="FT19" s="577"/>
      <c r="FU19" s="577"/>
      <c r="FV19" s="577"/>
      <c r="FW19" s="577"/>
      <c r="FX19" s="577"/>
      <c r="FY19" s="577"/>
      <c r="FZ19" s="577"/>
      <c r="GA19" s="577"/>
      <c r="GB19" s="577"/>
      <c r="GC19" s="577"/>
      <c r="GD19" s="577"/>
      <c r="GE19" s="577"/>
      <c r="GF19" s="577"/>
      <c r="GG19" s="577"/>
      <c r="GH19" s="577"/>
      <c r="GI19" s="577"/>
      <c r="GJ19" s="577"/>
      <c r="GK19" s="577"/>
      <c r="GL19" s="577"/>
      <c r="GM19" s="577"/>
      <c r="GN19" s="577"/>
      <c r="GO19" s="577"/>
      <c r="GP19" s="577"/>
      <c r="GQ19" s="577"/>
      <c r="GR19" s="577"/>
      <c r="GS19" s="577"/>
      <c r="GT19" s="577"/>
      <c r="GU19" s="577"/>
      <c r="GV19" s="577"/>
      <c r="GW19" s="577"/>
      <c r="GX19" s="577"/>
      <c r="GY19" s="577"/>
      <c r="GZ19" s="577"/>
      <c r="HA19" s="577"/>
      <c r="HB19" s="577"/>
      <c r="HC19" s="577"/>
      <c r="HD19" s="577"/>
      <c r="HE19" s="577"/>
      <c r="HF19" s="577"/>
      <c r="HG19" s="577"/>
      <c r="HH19" s="577"/>
      <c r="HI19" s="577"/>
      <c r="HJ19" s="577"/>
      <c r="HK19" s="577"/>
      <c r="HL19" s="577"/>
      <c r="HM19" s="577"/>
      <c r="HN19" s="577"/>
      <c r="HO19" s="577"/>
      <c r="HP19" s="577"/>
      <c r="HQ19" s="577"/>
      <c r="HR19" s="577"/>
      <c r="HS19" s="577"/>
      <c r="HT19" s="577"/>
      <c r="HU19" s="577"/>
      <c r="HV19" s="577"/>
      <c r="HW19" s="577"/>
      <c r="HX19" s="577"/>
      <c r="HY19" s="577"/>
      <c r="HZ19" s="577"/>
      <c r="IA19" s="577"/>
      <c r="IB19" s="577"/>
      <c r="IC19" s="577"/>
      <c r="ID19" s="577"/>
      <c r="IE19" s="577"/>
      <c r="IF19" s="577"/>
      <c r="IG19" s="577"/>
      <c r="IH19" s="577"/>
      <c r="II19" s="577"/>
      <c r="IJ19" s="577"/>
      <c r="IK19" s="577"/>
      <c r="IL19" s="577"/>
      <c r="IM19" s="577"/>
      <c r="IN19" s="577"/>
      <c r="IO19" s="577"/>
      <c r="IP19" s="577"/>
      <c r="IQ19" s="577"/>
      <c r="IR19" s="577"/>
      <c r="IS19" s="577"/>
      <c r="IT19" s="577"/>
      <c r="IU19" s="577"/>
      <c r="IV19" s="577"/>
      <c r="IW19" s="577"/>
    </row>
    <row r="20" spans="2:257" ht="14.25">
      <c r="B20" s="390"/>
      <c r="C20" s="390"/>
      <c r="D20" s="398"/>
      <c r="E20" s="390"/>
      <c r="F20" s="398"/>
      <c r="G20" s="398"/>
      <c r="H20" s="398"/>
      <c r="I20" s="398"/>
      <c r="J20" s="398"/>
    </row>
    <row r="21" spans="2:257" ht="14.25">
      <c r="B21" s="10"/>
      <c r="C21" s="10"/>
      <c r="D21" s="98"/>
      <c r="E21" s="10"/>
      <c r="F21" s="98"/>
      <c r="G21" s="98"/>
      <c r="H21" s="98"/>
      <c r="I21" s="98"/>
      <c r="J21" s="98"/>
    </row>
    <row r="22" spans="2:257" ht="14.25">
      <c r="B22" s="10"/>
      <c r="C22" s="10"/>
      <c r="D22" s="98"/>
      <c r="E22" s="10"/>
      <c r="F22" s="98"/>
      <c r="G22" s="98"/>
      <c r="H22" s="98"/>
      <c r="I22" s="98"/>
      <c r="J22" s="98"/>
    </row>
    <row r="23" spans="2:257" ht="14.25">
      <c r="B23" s="10"/>
      <c r="C23" s="10"/>
      <c r="D23" s="98"/>
      <c r="E23" s="10"/>
      <c r="F23" s="98"/>
      <c r="G23" s="98"/>
      <c r="H23" s="98"/>
      <c r="I23" s="98"/>
      <c r="J23" s="98"/>
    </row>
    <row r="24" spans="2:257" ht="14.25">
      <c r="B24" s="10"/>
      <c r="C24" s="10"/>
      <c r="D24" s="98"/>
      <c r="E24" s="10"/>
      <c r="F24" s="98"/>
      <c r="G24" s="98"/>
      <c r="H24" s="98"/>
      <c r="I24" s="98"/>
      <c r="J24" s="98"/>
    </row>
    <row r="25" spans="2:257" ht="14.25">
      <c r="B25" s="10"/>
      <c r="C25" s="10"/>
      <c r="D25" s="98"/>
      <c r="E25" s="10"/>
      <c r="F25" s="98"/>
      <c r="G25" s="98"/>
      <c r="H25" s="98"/>
      <c r="I25" s="98"/>
      <c r="J25" s="98"/>
    </row>
    <row r="26" spans="2:257" ht="14.25">
      <c r="B26" s="10"/>
      <c r="C26" s="10"/>
      <c r="D26" s="98"/>
      <c r="E26" s="10"/>
      <c r="F26" s="98"/>
      <c r="G26" s="98"/>
      <c r="H26" s="98"/>
      <c r="I26" s="98"/>
      <c r="J26" s="98"/>
    </row>
    <row r="27" spans="2:257" ht="14.25">
      <c r="B27" s="10"/>
      <c r="C27" s="10"/>
      <c r="D27" s="98"/>
      <c r="E27" s="10"/>
      <c r="F27" s="98"/>
      <c r="G27" s="98"/>
      <c r="H27" s="98"/>
      <c r="I27" s="98"/>
      <c r="J27" s="98"/>
    </row>
    <row r="28" spans="2:257" ht="14.25">
      <c r="B28" s="10"/>
      <c r="C28" s="10"/>
      <c r="D28" s="98"/>
      <c r="E28" s="10"/>
      <c r="F28" s="98"/>
      <c r="G28" s="98"/>
      <c r="H28" s="98"/>
      <c r="I28" s="98"/>
      <c r="J28" s="98"/>
    </row>
    <row r="29" spans="2:257" ht="14.25">
      <c r="B29" s="10"/>
      <c r="C29" s="10"/>
      <c r="D29" s="98"/>
      <c r="E29" s="10"/>
      <c r="F29" s="98"/>
      <c r="G29" s="98"/>
      <c r="H29" s="98"/>
      <c r="I29" s="98"/>
      <c r="J29" s="98"/>
    </row>
  </sheetData>
  <sheetProtection password="C112" sheet="1" objects="1" scenarios="1"/>
  <mergeCells count="2">
    <mergeCell ref="B4:C4"/>
    <mergeCell ref="B2:J2"/>
  </mergeCells>
  <pageMargins left="0.70000004768371582" right="0.70000004768371582" top="0.75" bottom="0.75" header="0.30000001192092896" footer="0.30000001192092896"/>
  <pageSetup scale="61" orientation="landscape" useFirstPageNumber="1" r:id="rId1"/>
  <headerFooter alignWithMargins="0">
    <oddFooter>&amp;C&amp;"Arial,Regular"&amp;22DRAFT - DO NOT DISTRIBUTE</oddFooter>
  </headerFooter>
</worksheet>
</file>

<file path=xl/worksheets/sheet8.xml><?xml version="1.0" encoding="utf-8"?>
<worksheet xmlns="http://schemas.openxmlformats.org/spreadsheetml/2006/main" xmlns:r="http://schemas.openxmlformats.org/officeDocument/2006/relationships">
  <dimension ref="A1:IV10004"/>
  <sheetViews>
    <sheetView workbookViewId="0">
      <selection activeCell="E592" sqref="E592"/>
    </sheetView>
  </sheetViews>
  <sheetFormatPr defaultColWidth="11" defaultRowHeight="20.100000000000001" customHeight="1"/>
  <cols>
    <col min="1" max="1" width="9" style="373" customWidth="1"/>
    <col min="2" max="2" width="41.5" style="373" customWidth="1"/>
    <col min="3" max="3" width="18.25" style="373" customWidth="1"/>
    <col min="4" max="4" width="14.75" style="373" customWidth="1"/>
    <col min="5" max="5" width="14.75" style="374" customWidth="1"/>
    <col min="6" max="8" width="10.875" style="373" customWidth="1"/>
    <col min="9" max="9" width="12" style="373" customWidth="1"/>
    <col min="10" max="10" width="11" style="373" customWidth="1"/>
    <col min="11" max="256" width="10.25" style="5" customWidth="1"/>
  </cols>
  <sheetData>
    <row r="1" spans="1:10" ht="14.25">
      <c r="F1" s="98" t="s">
        <v>367</v>
      </c>
      <c r="G1" s="98" t="s">
        <v>368</v>
      </c>
      <c r="H1" s="98" t="s">
        <v>369</v>
      </c>
      <c r="I1" s="98" t="s">
        <v>370</v>
      </c>
    </row>
    <row r="2" spans="1:10" ht="14.25">
      <c r="F2" s="375">
        <v>0.17760000000000001</v>
      </c>
      <c r="G2" s="375">
        <v>0.31390000000000001</v>
      </c>
      <c r="H2" s="375">
        <v>0.31390000000000001</v>
      </c>
      <c r="I2" s="375">
        <v>0.31390000000000001</v>
      </c>
      <c r="J2" s="375"/>
    </row>
    <row r="3" spans="1:10" ht="25.5">
      <c r="A3" s="376" t="s">
        <v>218</v>
      </c>
      <c r="B3" s="377" t="s">
        <v>371</v>
      </c>
      <c r="C3" s="377" t="s">
        <v>372</v>
      </c>
      <c r="D3" s="378" t="s">
        <v>373</v>
      </c>
      <c r="E3" s="379" t="s">
        <v>374</v>
      </c>
      <c r="F3" s="98" t="s">
        <v>375</v>
      </c>
      <c r="G3" s="98" t="s">
        <v>375</v>
      </c>
      <c r="H3" s="98" t="s">
        <v>375</v>
      </c>
      <c r="I3" s="98" t="s">
        <v>375</v>
      </c>
    </row>
    <row r="4" spans="1:10" ht="14.25" hidden="1">
      <c r="A4" s="380" t="s">
        <v>51</v>
      </c>
      <c r="B4" s="23" t="s">
        <v>376</v>
      </c>
      <c r="C4" s="23" t="s">
        <v>377</v>
      </c>
      <c r="D4" s="381">
        <v>71580</v>
      </c>
      <c r="E4" s="382">
        <v>0</v>
      </c>
      <c r="F4" s="98">
        <v>16504</v>
      </c>
      <c r="G4" s="98">
        <v>22469</v>
      </c>
      <c r="H4" s="98">
        <v>22469</v>
      </c>
      <c r="I4" s="98">
        <v>22469</v>
      </c>
      <c r="J4" s="98"/>
    </row>
    <row r="5" spans="1:10" ht="14.25" hidden="1">
      <c r="A5" s="380" t="s">
        <v>63</v>
      </c>
      <c r="B5" s="23" t="s">
        <v>378</v>
      </c>
      <c r="C5" s="23" t="s">
        <v>377</v>
      </c>
      <c r="D5" s="381">
        <v>83170</v>
      </c>
      <c r="E5" s="382">
        <v>0</v>
      </c>
      <c r="F5" s="98">
        <v>18562</v>
      </c>
      <c r="G5" s="98">
        <v>26107</v>
      </c>
      <c r="H5" s="98">
        <v>26107</v>
      </c>
      <c r="I5" s="98">
        <v>26107</v>
      </c>
      <c r="J5" s="98"/>
    </row>
    <row r="6" spans="1:10" ht="14.25" hidden="1">
      <c r="A6" s="380" t="s">
        <v>59</v>
      </c>
      <c r="B6" s="23" t="s">
        <v>379</v>
      </c>
      <c r="C6" s="23" t="s">
        <v>377</v>
      </c>
      <c r="D6" s="381">
        <v>77786</v>
      </c>
      <c r="E6" s="382">
        <v>0</v>
      </c>
      <c r="F6" s="98">
        <v>17606</v>
      </c>
      <c r="G6" s="98">
        <v>24417</v>
      </c>
      <c r="H6" s="98">
        <v>24417</v>
      </c>
      <c r="I6" s="98">
        <v>24417</v>
      </c>
      <c r="J6" s="98"/>
    </row>
    <row r="7" spans="1:10" ht="14.25" hidden="1">
      <c r="A7" s="380" t="s">
        <v>50</v>
      </c>
      <c r="B7" s="23" t="s">
        <v>380</v>
      </c>
      <c r="C7" s="23" t="s">
        <v>377</v>
      </c>
      <c r="D7" s="381">
        <v>89954</v>
      </c>
      <c r="E7" s="382">
        <v>0</v>
      </c>
      <c r="F7" s="98">
        <v>19766</v>
      </c>
      <c r="G7" s="98">
        <v>28237</v>
      </c>
      <c r="H7" s="98">
        <v>28237</v>
      </c>
      <c r="I7" s="98">
        <v>28237</v>
      </c>
      <c r="J7" s="98"/>
    </row>
    <row r="8" spans="1:10" ht="14.25" hidden="1">
      <c r="A8" s="380" t="s">
        <v>62</v>
      </c>
      <c r="B8" s="23" t="s">
        <v>381</v>
      </c>
      <c r="C8" s="23" t="s">
        <v>377</v>
      </c>
      <c r="D8" s="381">
        <v>107470</v>
      </c>
      <c r="E8" s="382">
        <v>0</v>
      </c>
      <c r="F8" s="98">
        <v>22878</v>
      </c>
      <c r="G8" s="98">
        <v>33735</v>
      </c>
      <c r="H8" s="98">
        <v>33735</v>
      </c>
      <c r="I8" s="98">
        <v>33735</v>
      </c>
      <c r="J8" s="98"/>
    </row>
    <row r="9" spans="1:10" ht="14.25" hidden="1">
      <c r="A9" s="380" t="s">
        <v>58</v>
      </c>
      <c r="B9" s="23" t="s">
        <v>382</v>
      </c>
      <c r="C9" s="23" t="s">
        <v>377</v>
      </c>
      <c r="D9" s="381">
        <v>100730</v>
      </c>
      <c r="E9" s="382">
        <v>0</v>
      </c>
      <c r="F9" s="98">
        <v>21680</v>
      </c>
      <c r="G9" s="98">
        <v>31619</v>
      </c>
      <c r="H9" s="98">
        <v>31619</v>
      </c>
      <c r="I9" s="98">
        <v>31619</v>
      </c>
      <c r="J9" s="98"/>
    </row>
    <row r="10" spans="1:10" ht="14.25" hidden="1">
      <c r="A10" s="380" t="s">
        <v>52</v>
      </c>
      <c r="B10" s="23" t="s">
        <v>383</v>
      </c>
      <c r="C10" s="23" t="s">
        <v>377</v>
      </c>
      <c r="D10" s="381">
        <v>64204</v>
      </c>
      <c r="E10" s="382">
        <v>0</v>
      </c>
      <c r="F10" s="98">
        <v>15194</v>
      </c>
      <c r="G10" s="98">
        <v>20154</v>
      </c>
      <c r="H10" s="98">
        <v>20154</v>
      </c>
      <c r="I10" s="98">
        <v>20154</v>
      </c>
      <c r="J10" s="98"/>
    </row>
    <row r="11" spans="1:10" ht="14.25" hidden="1">
      <c r="A11" s="380" t="s">
        <v>60</v>
      </c>
      <c r="B11" s="23" t="s">
        <v>384</v>
      </c>
      <c r="C11" s="23" t="s">
        <v>377</v>
      </c>
      <c r="D11" s="381">
        <v>69166</v>
      </c>
      <c r="E11" s="382">
        <v>0</v>
      </c>
      <c r="F11" s="98">
        <v>16074</v>
      </c>
      <c r="G11" s="98">
        <v>21711</v>
      </c>
      <c r="H11" s="98">
        <v>21711</v>
      </c>
      <c r="I11" s="98">
        <v>21711</v>
      </c>
      <c r="J11" s="98"/>
    </row>
    <row r="12" spans="1:10" ht="14.25" hidden="1">
      <c r="A12" s="380" t="s">
        <v>64</v>
      </c>
      <c r="B12" s="23" t="s">
        <v>385</v>
      </c>
      <c r="C12" s="23" t="s">
        <v>377</v>
      </c>
      <c r="D12" s="381">
        <v>72268</v>
      </c>
      <c r="E12" s="382">
        <v>0</v>
      </c>
      <c r="F12" s="98">
        <v>16626</v>
      </c>
      <c r="G12" s="98">
        <v>22685</v>
      </c>
      <c r="H12" s="98">
        <v>22685</v>
      </c>
      <c r="I12" s="98">
        <v>22685</v>
      </c>
      <c r="J12" s="98"/>
    </row>
    <row r="13" spans="1:10" ht="14.25" hidden="1">
      <c r="A13" s="383" t="s">
        <v>53</v>
      </c>
      <c r="B13" s="384" t="s">
        <v>386</v>
      </c>
      <c r="C13" s="384" t="s">
        <v>377</v>
      </c>
      <c r="D13" s="381">
        <v>45922</v>
      </c>
      <c r="E13" s="382">
        <v>0</v>
      </c>
      <c r="F13" s="98">
        <v>11946</v>
      </c>
      <c r="G13" s="98">
        <v>14415</v>
      </c>
      <c r="H13" s="98">
        <v>14415</v>
      </c>
      <c r="I13" s="98">
        <v>14415</v>
      </c>
      <c r="J13" s="98"/>
    </row>
    <row r="14" spans="1:10" ht="14.25" hidden="1">
      <c r="A14" s="383" t="s">
        <v>387</v>
      </c>
      <c r="B14" s="384" t="s">
        <v>388</v>
      </c>
      <c r="C14" s="384" t="s">
        <v>377</v>
      </c>
      <c r="D14" s="381">
        <v>49470</v>
      </c>
      <c r="E14" s="382">
        <v>0</v>
      </c>
      <c r="F14" s="98">
        <v>12576</v>
      </c>
      <c r="G14" s="98">
        <v>15529</v>
      </c>
      <c r="H14" s="98">
        <v>15529</v>
      </c>
      <c r="I14" s="98">
        <v>15529</v>
      </c>
      <c r="J14" s="98"/>
    </row>
    <row r="15" spans="1:10" ht="14.25" hidden="1">
      <c r="A15" s="383" t="s">
        <v>61</v>
      </c>
      <c r="B15" s="384" t="s">
        <v>389</v>
      </c>
      <c r="C15" s="384" t="s">
        <v>377</v>
      </c>
      <c r="D15" s="381">
        <v>51688</v>
      </c>
      <c r="E15" s="382">
        <v>0</v>
      </c>
      <c r="F15" s="98">
        <v>12970</v>
      </c>
      <c r="G15" s="98">
        <v>16225</v>
      </c>
      <c r="H15" s="98">
        <v>16225</v>
      </c>
      <c r="I15" s="98">
        <v>16225</v>
      </c>
      <c r="J15" s="98"/>
    </row>
    <row r="16" spans="1:10" ht="14.25" hidden="1">
      <c r="A16" s="380" t="s">
        <v>265</v>
      </c>
      <c r="B16" s="23" t="s">
        <v>390</v>
      </c>
      <c r="C16" s="23" t="s">
        <v>391</v>
      </c>
      <c r="D16" s="381">
        <v>66280</v>
      </c>
      <c r="E16" s="382">
        <v>0</v>
      </c>
      <c r="F16" s="98">
        <v>16752</v>
      </c>
      <c r="G16" s="98">
        <v>20805</v>
      </c>
      <c r="H16" s="98">
        <v>20805</v>
      </c>
      <c r="I16" s="98">
        <v>20805</v>
      </c>
      <c r="J16" s="98"/>
    </row>
    <row r="17" spans="1:10" ht="14.25" hidden="1">
      <c r="A17" s="380" t="s">
        <v>392</v>
      </c>
      <c r="B17" s="23" t="s">
        <v>393</v>
      </c>
      <c r="C17" s="23" t="s">
        <v>391</v>
      </c>
      <c r="D17" s="381">
        <v>66280</v>
      </c>
      <c r="E17" s="382">
        <v>0</v>
      </c>
      <c r="F17" s="98">
        <v>16752</v>
      </c>
      <c r="G17" s="98">
        <v>20805</v>
      </c>
      <c r="H17" s="98">
        <v>20805</v>
      </c>
      <c r="I17" s="98">
        <v>20805</v>
      </c>
      <c r="J17" s="98"/>
    </row>
    <row r="18" spans="1:10" ht="14.25" hidden="1">
      <c r="A18" s="380" t="s">
        <v>267</v>
      </c>
      <c r="B18" s="23" t="s">
        <v>394</v>
      </c>
      <c r="C18" s="23" t="s">
        <v>391</v>
      </c>
      <c r="D18" s="381">
        <v>66280</v>
      </c>
      <c r="E18" s="382">
        <v>0</v>
      </c>
      <c r="F18" s="98">
        <v>16752</v>
      </c>
      <c r="G18" s="98">
        <v>20805</v>
      </c>
      <c r="H18" s="98">
        <v>20805</v>
      </c>
      <c r="I18" s="98">
        <v>20805</v>
      </c>
      <c r="J18" s="98"/>
    </row>
    <row r="19" spans="1:10" ht="14.25" hidden="1">
      <c r="A19" s="380" t="s">
        <v>323</v>
      </c>
      <c r="B19" s="23" t="s">
        <v>395</v>
      </c>
      <c r="C19" s="23" t="s">
        <v>396</v>
      </c>
      <c r="D19" s="381">
        <v>35028</v>
      </c>
      <c r="E19" s="382">
        <v>0</v>
      </c>
      <c r="F19" s="98">
        <v>10098</v>
      </c>
      <c r="G19" s="98">
        <v>10995</v>
      </c>
      <c r="H19" s="98">
        <v>10995</v>
      </c>
      <c r="I19" s="98">
        <v>10995</v>
      </c>
      <c r="J19" s="98"/>
    </row>
    <row r="20" spans="1:10" ht="14.25" hidden="1">
      <c r="A20" s="385" t="s">
        <v>311</v>
      </c>
      <c r="B20" s="386" t="s">
        <v>395</v>
      </c>
      <c r="C20" s="386" t="s">
        <v>396</v>
      </c>
      <c r="D20" s="98">
        <v>25224</v>
      </c>
      <c r="E20" s="382">
        <v>0</v>
      </c>
      <c r="F20" s="98">
        <v>8356</v>
      </c>
      <c r="G20" s="98">
        <v>7918</v>
      </c>
      <c r="H20" s="98">
        <v>7918</v>
      </c>
      <c r="I20" s="98">
        <v>7918</v>
      </c>
      <c r="J20" s="98"/>
    </row>
    <row r="21" spans="1:10" ht="14.25" hidden="1">
      <c r="A21" s="380" t="s">
        <v>319</v>
      </c>
      <c r="B21" s="23"/>
      <c r="C21" s="23" t="s">
        <v>396</v>
      </c>
      <c r="D21" s="381">
        <v>29994</v>
      </c>
      <c r="E21" s="382">
        <v>0</v>
      </c>
      <c r="F21" s="98">
        <v>9204</v>
      </c>
      <c r="G21" s="98">
        <v>9415</v>
      </c>
      <c r="H21" s="98">
        <v>9415</v>
      </c>
      <c r="I21" s="98">
        <v>9415</v>
      </c>
      <c r="J21" s="98"/>
    </row>
    <row r="22" spans="1:10" ht="14.25" hidden="1">
      <c r="A22" s="380" t="s">
        <v>321</v>
      </c>
      <c r="B22" s="23"/>
      <c r="C22" s="23" t="s">
        <v>396</v>
      </c>
      <c r="D22" s="381">
        <v>34380</v>
      </c>
      <c r="E22" s="382">
        <v>0</v>
      </c>
      <c r="F22" s="98">
        <v>9982</v>
      </c>
      <c r="G22" s="98">
        <v>10792</v>
      </c>
      <c r="H22" s="98">
        <v>10792</v>
      </c>
      <c r="I22" s="98">
        <v>10792</v>
      </c>
      <c r="J22" s="98"/>
    </row>
    <row r="23" spans="1:10" ht="14.25" hidden="1">
      <c r="A23" s="380" t="s">
        <v>309</v>
      </c>
      <c r="B23" s="23"/>
      <c r="C23" s="23" t="s">
        <v>396</v>
      </c>
      <c r="D23" s="381">
        <v>30592</v>
      </c>
      <c r="E23" s="382">
        <v>0</v>
      </c>
      <c r="F23" s="98">
        <v>9310</v>
      </c>
      <c r="G23" s="98">
        <v>9603</v>
      </c>
      <c r="H23" s="98">
        <v>9603</v>
      </c>
      <c r="I23" s="98">
        <v>9603</v>
      </c>
      <c r="J23" s="98"/>
    </row>
    <row r="24" spans="1:10" ht="14.25" hidden="1">
      <c r="A24" s="380" t="s">
        <v>315</v>
      </c>
      <c r="B24" s="23" t="s">
        <v>397</v>
      </c>
      <c r="C24" s="23" t="s">
        <v>396</v>
      </c>
      <c r="D24" s="381">
        <v>30853</v>
      </c>
      <c r="E24" s="382">
        <v>0</v>
      </c>
      <c r="F24" s="98">
        <v>9356</v>
      </c>
      <c r="G24" s="98">
        <v>9685</v>
      </c>
      <c r="H24" s="98">
        <v>9685</v>
      </c>
      <c r="I24" s="98">
        <v>9685</v>
      </c>
      <c r="J24" s="98"/>
    </row>
    <row r="25" spans="1:10" ht="14.25" hidden="1">
      <c r="A25" s="380" t="s">
        <v>313</v>
      </c>
      <c r="B25" s="23"/>
      <c r="C25" s="23" t="s">
        <v>396</v>
      </c>
      <c r="D25" s="381">
        <v>21642</v>
      </c>
      <c r="E25" s="382">
        <v>0</v>
      </c>
      <c r="F25" s="98">
        <v>7720</v>
      </c>
      <c r="G25" s="98">
        <v>6793</v>
      </c>
      <c r="H25" s="98">
        <v>6793</v>
      </c>
      <c r="I25" s="98">
        <v>6793</v>
      </c>
      <c r="J25" s="98"/>
    </row>
    <row r="26" spans="1:10" ht="14.25" hidden="1">
      <c r="A26" s="380" t="s">
        <v>327</v>
      </c>
      <c r="B26" s="23"/>
      <c r="C26" s="23" t="s">
        <v>396</v>
      </c>
      <c r="D26" s="381">
        <v>33938</v>
      </c>
      <c r="E26" s="382">
        <v>0</v>
      </c>
      <c r="F26" s="98">
        <v>9904</v>
      </c>
      <c r="G26" s="98">
        <v>10653</v>
      </c>
      <c r="H26" s="98">
        <v>10653</v>
      </c>
      <c r="I26" s="98">
        <v>10653</v>
      </c>
      <c r="J26" s="98"/>
    </row>
    <row r="27" spans="1:10" ht="14.25" hidden="1">
      <c r="A27" s="387" t="s">
        <v>329</v>
      </c>
      <c r="B27" s="23"/>
      <c r="C27" s="388" t="s">
        <v>396</v>
      </c>
      <c r="D27" s="98">
        <v>42380</v>
      </c>
      <c r="E27" s="382">
        <v>0</v>
      </c>
      <c r="F27" s="98">
        <v>11404</v>
      </c>
      <c r="G27" s="98">
        <v>13303</v>
      </c>
      <c r="H27" s="98">
        <v>13303</v>
      </c>
      <c r="I27" s="98">
        <v>13303</v>
      </c>
      <c r="J27" s="98"/>
    </row>
    <row r="28" spans="1:10" ht="14.25" hidden="1">
      <c r="A28" s="380" t="s">
        <v>325</v>
      </c>
      <c r="B28" s="23"/>
      <c r="C28" s="23" t="s">
        <v>396</v>
      </c>
      <c r="D28" s="381">
        <v>26950</v>
      </c>
      <c r="E28" s="382">
        <v>0</v>
      </c>
      <c r="F28" s="98">
        <v>8662</v>
      </c>
      <c r="G28" s="98">
        <v>8460</v>
      </c>
      <c r="H28" s="98">
        <v>8460</v>
      </c>
      <c r="I28" s="98">
        <v>8460</v>
      </c>
      <c r="J28" s="98"/>
    </row>
    <row r="29" spans="1:10" ht="14.25" hidden="1">
      <c r="A29" s="387" t="s">
        <v>317</v>
      </c>
      <c r="B29" s="23"/>
      <c r="C29" s="388" t="s">
        <v>396</v>
      </c>
      <c r="D29" s="98">
        <v>32922</v>
      </c>
      <c r="E29" s="382">
        <v>0</v>
      </c>
      <c r="F29" s="98">
        <v>9724</v>
      </c>
      <c r="G29" s="98">
        <v>10334</v>
      </c>
      <c r="H29" s="98">
        <v>10334</v>
      </c>
      <c r="I29" s="98">
        <v>10334</v>
      </c>
      <c r="J29" s="98"/>
    </row>
    <row r="30" spans="1:10" ht="14.25" hidden="1">
      <c r="A30" s="380" t="s">
        <v>307</v>
      </c>
      <c r="B30" s="23"/>
      <c r="C30" s="23" t="s">
        <v>396</v>
      </c>
      <c r="D30" s="381">
        <v>25900</v>
      </c>
      <c r="E30" s="382">
        <v>0</v>
      </c>
      <c r="F30" s="98">
        <v>8476</v>
      </c>
      <c r="G30" s="98">
        <v>8130</v>
      </c>
      <c r="H30" s="98">
        <v>8130</v>
      </c>
      <c r="I30" s="98">
        <v>8130</v>
      </c>
      <c r="J30" s="98"/>
    </row>
    <row r="31" spans="1:10" ht="14.25" hidden="1">
      <c r="A31" s="389" t="s">
        <v>398</v>
      </c>
      <c r="B31" s="390" t="s">
        <v>399</v>
      </c>
      <c r="C31" s="390" t="s">
        <v>400</v>
      </c>
      <c r="D31" s="391">
        <v>47328</v>
      </c>
      <c r="E31" s="382">
        <v>0</v>
      </c>
      <c r="F31" s="98">
        <v>12914</v>
      </c>
      <c r="G31" s="98">
        <v>14856</v>
      </c>
      <c r="H31" s="98">
        <v>14856</v>
      </c>
      <c r="I31" s="98">
        <v>14856</v>
      </c>
      <c r="J31" s="98"/>
    </row>
    <row r="32" spans="1:10" ht="14.25" hidden="1">
      <c r="A32" s="74" t="s">
        <v>401</v>
      </c>
      <c r="B32" s="10" t="s">
        <v>402</v>
      </c>
      <c r="C32" s="179" t="s">
        <v>391</v>
      </c>
      <c r="D32" s="392">
        <v>51768</v>
      </c>
      <c r="E32" s="393">
        <v>0</v>
      </c>
      <c r="F32" s="98">
        <v>14176</v>
      </c>
      <c r="G32" s="98">
        <v>16250</v>
      </c>
      <c r="H32" s="98">
        <v>16250</v>
      </c>
      <c r="I32" s="98">
        <v>16250</v>
      </c>
      <c r="J32" s="98"/>
    </row>
    <row r="33" spans="1:10" ht="14.25" hidden="1">
      <c r="A33" s="74" t="s">
        <v>403</v>
      </c>
      <c r="B33" s="10" t="s">
        <v>404</v>
      </c>
      <c r="C33" s="179" t="s">
        <v>391</v>
      </c>
      <c r="D33" s="392">
        <v>51768</v>
      </c>
      <c r="E33" s="393">
        <v>0</v>
      </c>
      <c r="F33" s="98">
        <v>14176</v>
      </c>
      <c r="G33" s="98">
        <v>16250</v>
      </c>
      <c r="H33" s="98">
        <v>16250</v>
      </c>
      <c r="I33" s="98">
        <v>16250</v>
      </c>
      <c r="J33" s="98"/>
    </row>
    <row r="34" spans="1:10" ht="14.25" hidden="1">
      <c r="A34" s="376" t="s">
        <v>248</v>
      </c>
      <c r="B34" s="377" t="s">
        <v>405</v>
      </c>
      <c r="C34" s="394" t="s">
        <v>391</v>
      </c>
      <c r="D34" s="392">
        <v>51768</v>
      </c>
      <c r="E34" s="393">
        <v>0</v>
      </c>
      <c r="F34" s="98">
        <v>14176</v>
      </c>
      <c r="G34" s="98">
        <v>16250</v>
      </c>
      <c r="H34" s="98">
        <v>16250</v>
      </c>
      <c r="I34" s="98">
        <v>16250</v>
      </c>
      <c r="J34" s="98"/>
    </row>
    <row r="35" spans="1:10" ht="14.25" hidden="1">
      <c r="A35" s="380" t="s">
        <v>406</v>
      </c>
      <c r="B35" s="23" t="s">
        <v>407</v>
      </c>
      <c r="C35" s="23" t="s">
        <v>391</v>
      </c>
      <c r="D35" s="395">
        <v>58406</v>
      </c>
      <c r="E35" s="382">
        <v>0</v>
      </c>
      <c r="F35" s="98">
        <v>15354</v>
      </c>
      <c r="G35" s="98">
        <v>18334</v>
      </c>
      <c r="H35" s="98">
        <v>18334</v>
      </c>
      <c r="I35" s="98">
        <v>18334</v>
      </c>
      <c r="J35" s="98"/>
    </row>
    <row r="36" spans="1:10" ht="14.25" hidden="1">
      <c r="A36" s="389" t="s">
        <v>408</v>
      </c>
      <c r="B36" s="390" t="s">
        <v>409</v>
      </c>
      <c r="C36" s="396" t="s">
        <v>391</v>
      </c>
      <c r="D36" s="392">
        <v>51768</v>
      </c>
      <c r="E36" s="393">
        <v>0</v>
      </c>
      <c r="F36" s="98">
        <v>14176</v>
      </c>
      <c r="G36" s="98">
        <v>16250</v>
      </c>
      <c r="H36" s="98">
        <v>16250</v>
      </c>
      <c r="I36" s="98">
        <v>16250</v>
      </c>
      <c r="J36" s="98"/>
    </row>
    <row r="37" spans="1:10" ht="14.25" hidden="1">
      <c r="A37" s="74" t="s">
        <v>410</v>
      </c>
      <c r="B37" s="10" t="s">
        <v>411</v>
      </c>
      <c r="C37" s="179" t="s">
        <v>391</v>
      </c>
      <c r="D37" s="392">
        <v>51768</v>
      </c>
      <c r="E37" s="393">
        <v>0</v>
      </c>
      <c r="F37" s="98">
        <v>14176</v>
      </c>
      <c r="G37" s="98">
        <v>16250</v>
      </c>
      <c r="H37" s="98">
        <v>16250</v>
      </c>
      <c r="I37" s="98">
        <v>16250</v>
      </c>
      <c r="J37" s="98"/>
    </row>
    <row r="38" spans="1:10" ht="14.25" hidden="1">
      <c r="A38" s="376" t="s">
        <v>246</v>
      </c>
      <c r="B38" s="377" t="s">
        <v>412</v>
      </c>
      <c r="C38" s="394" t="s">
        <v>391</v>
      </c>
      <c r="D38" s="392">
        <v>51768</v>
      </c>
      <c r="E38" s="393">
        <v>0</v>
      </c>
      <c r="F38" s="98">
        <v>14176</v>
      </c>
      <c r="G38" s="98">
        <v>16250</v>
      </c>
      <c r="H38" s="98">
        <v>16250</v>
      </c>
      <c r="I38" s="98">
        <v>16250</v>
      </c>
      <c r="J38" s="98"/>
    </row>
    <row r="39" spans="1:10" ht="14.25" hidden="1">
      <c r="A39" s="380" t="s">
        <v>251</v>
      </c>
      <c r="B39" s="23" t="s">
        <v>413</v>
      </c>
      <c r="C39" s="23" t="s">
        <v>391</v>
      </c>
      <c r="D39" s="392">
        <v>51768</v>
      </c>
      <c r="E39" s="393">
        <v>0</v>
      </c>
      <c r="F39" s="98">
        <v>14176</v>
      </c>
      <c r="G39" s="98">
        <v>16250</v>
      </c>
      <c r="H39" s="98">
        <v>16250</v>
      </c>
      <c r="I39" s="98">
        <v>16250</v>
      </c>
      <c r="J39" s="98"/>
    </row>
    <row r="40" spans="1:10" ht="14.25" hidden="1">
      <c r="A40" s="380" t="s">
        <v>414</v>
      </c>
      <c r="B40" s="23" t="s">
        <v>415</v>
      </c>
      <c r="C40" s="23" t="s">
        <v>391</v>
      </c>
      <c r="D40" s="397">
        <v>47870</v>
      </c>
      <c r="E40" s="382">
        <v>0</v>
      </c>
      <c r="F40" s="98">
        <v>13483</v>
      </c>
      <c r="G40" s="98">
        <v>15026</v>
      </c>
      <c r="H40" s="98">
        <v>15026</v>
      </c>
      <c r="I40" s="98">
        <v>15026</v>
      </c>
      <c r="J40" s="98"/>
    </row>
    <row r="41" spans="1:10" ht="14.25" hidden="1">
      <c r="A41" s="380" t="s">
        <v>271</v>
      </c>
      <c r="B41" s="23" t="s">
        <v>416</v>
      </c>
      <c r="C41" s="23" t="s">
        <v>391</v>
      </c>
      <c r="D41" s="381">
        <v>57998</v>
      </c>
      <c r="E41" s="382">
        <v>0</v>
      </c>
      <c r="F41" s="98">
        <v>15282</v>
      </c>
      <c r="G41" s="98">
        <v>18206</v>
      </c>
      <c r="H41" s="98">
        <v>18206</v>
      </c>
      <c r="I41" s="98">
        <v>18206</v>
      </c>
      <c r="J41" s="98"/>
    </row>
    <row r="42" spans="1:10" ht="14.25" hidden="1">
      <c r="A42" s="389" t="s">
        <v>417</v>
      </c>
      <c r="B42" s="390" t="s">
        <v>418</v>
      </c>
      <c r="C42" s="390" t="s">
        <v>391</v>
      </c>
      <c r="D42" s="98">
        <v>57998</v>
      </c>
      <c r="E42" s="382">
        <v>0</v>
      </c>
      <c r="F42" s="98">
        <v>15282</v>
      </c>
      <c r="G42" s="98">
        <v>18206</v>
      </c>
      <c r="H42" s="98">
        <v>18206</v>
      </c>
      <c r="I42" s="98">
        <v>18206</v>
      </c>
      <c r="J42" s="98"/>
    </row>
    <row r="43" spans="1:10" ht="14.25" hidden="1">
      <c r="A43" s="74" t="s">
        <v>419</v>
      </c>
      <c r="B43" s="10" t="s">
        <v>420</v>
      </c>
      <c r="C43" s="10" t="s">
        <v>391</v>
      </c>
      <c r="D43" s="98">
        <v>57998</v>
      </c>
      <c r="E43" s="382">
        <v>0</v>
      </c>
      <c r="F43" s="98">
        <v>15282</v>
      </c>
      <c r="G43" s="98">
        <v>18206</v>
      </c>
      <c r="H43" s="98">
        <v>18206</v>
      </c>
      <c r="I43" s="98">
        <v>18206</v>
      </c>
      <c r="J43" s="98"/>
    </row>
    <row r="44" spans="1:10" ht="14.25" hidden="1">
      <c r="A44" s="74" t="s">
        <v>421</v>
      </c>
      <c r="B44" s="10" t="s">
        <v>422</v>
      </c>
      <c r="C44" s="10" t="s">
        <v>391</v>
      </c>
      <c r="D44" s="391">
        <v>57998</v>
      </c>
      <c r="E44" s="382">
        <v>0</v>
      </c>
      <c r="F44" s="98">
        <v>15282</v>
      </c>
      <c r="G44" s="98">
        <v>18206</v>
      </c>
      <c r="H44" s="98">
        <v>18206</v>
      </c>
      <c r="I44" s="98">
        <v>18206</v>
      </c>
      <c r="J44" s="98"/>
    </row>
    <row r="45" spans="1:10" ht="14.25" hidden="1">
      <c r="A45" s="74" t="s">
        <v>423</v>
      </c>
      <c r="B45" s="10" t="s">
        <v>424</v>
      </c>
      <c r="C45" s="179" t="s">
        <v>391</v>
      </c>
      <c r="D45" s="392">
        <v>51768</v>
      </c>
      <c r="E45" s="393">
        <v>0</v>
      </c>
      <c r="F45" s="98">
        <v>14176</v>
      </c>
      <c r="G45" s="98">
        <v>16250</v>
      </c>
      <c r="H45" s="98">
        <v>16250</v>
      </c>
      <c r="I45" s="98">
        <v>16250</v>
      </c>
      <c r="J45" s="98"/>
    </row>
    <row r="46" spans="1:10" ht="14.25" hidden="1">
      <c r="A46" s="74" t="s">
        <v>425</v>
      </c>
      <c r="B46" s="10" t="s">
        <v>426</v>
      </c>
      <c r="C46" s="179" t="s">
        <v>391</v>
      </c>
      <c r="D46" s="392">
        <v>51768</v>
      </c>
      <c r="E46" s="393">
        <v>0</v>
      </c>
      <c r="F46" s="98">
        <v>14176</v>
      </c>
      <c r="G46" s="98">
        <v>16250</v>
      </c>
      <c r="H46" s="98">
        <v>16250</v>
      </c>
      <c r="I46" s="98">
        <v>16250</v>
      </c>
      <c r="J46" s="98"/>
    </row>
    <row r="47" spans="1:10" ht="14.25" hidden="1">
      <c r="A47" s="74" t="s">
        <v>427</v>
      </c>
      <c r="B47" s="10" t="s">
        <v>428</v>
      </c>
      <c r="C47" s="179" t="s">
        <v>391</v>
      </c>
      <c r="D47" s="392">
        <v>51768</v>
      </c>
      <c r="E47" s="393">
        <v>0</v>
      </c>
      <c r="F47" s="98">
        <v>14176</v>
      </c>
      <c r="G47" s="98">
        <v>16250</v>
      </c>
      <c r="H47" s="98">
        <v>16250</v>
      </c>
      <c r="I47" s="98">
        <v>16250</v>
      </c>
      <c r="J47" s="98"/>
    </row>
    <row r="48" spans="1:10" ht="14.25" hidden="1">
      <c r="A48" s="74" t="s">
        <v>429</v>
      </c>
      <c r="B48" s="10" t="s">
        <v>430</v>
      </c>
      <c r="C48" s="179" t="s">
        <v>391</v>
      </c>
      <c r="D48" s="392">
        <v>51768</v>
      </c>
      <c r="E48" s="393">
        <v>0</v>
      </c>
      <c r="F48" s="98">
        <v>14176</v>
      </c>
      <c r="G48" s="98">
        <v>16250</v>
      </c>
      <c r="H48" s="98">
        <v>16250</v>
      </c>
      <c r="I48" s="98">
        <v>16250</v>
      </c>
      <c r="J48" s="98"/>
    </row>
    <row r="49" spans="1:10" ht="14.25" hidden="1">
      <c r="A49" s="74" t="s">
        <v>261</v>
      </c>
      <c r="B49" s="10" t="s">
        <v>431</v>
      </c>
      <c r="C49" s="179" t="s">
        <v>391</v>
      </c>
      <c r="D49" s="392">
        <v>51768</v>
      </c>
      <c r="E49" s="393">
        <v>0</v>
      </c>
      <c r="F49" s="98">
        <v>14176</v>
      </c>
      <c r="G49" s="98">
        <v>16250</v>
      </c>
      <c r="H49" s="98">
        <v>16250</v>
      </c>
      <c r="I49" s="98">
        <v>16250</v>
      </c>
      <c r="J49" s="98"/>
    </row>
    <row r="50" spans="1:10" ht="14.25" hidden="1">
      <c r="A50" s="74" t="s">
        <v>432</v>
      </c>
      <c r="B50" s="10" t="s">
        <v>433</v>
      </c>
      <c r="C50" s="179" t="s">
        <v>391</v>
      </c>
      <c r="D50" s="392">
        <v>51768</v>
      </c>
      <c r="E50" s="393">
        <v>0</v>
      </c>
      <c r="F50" s="98">
        <v>14176</v>
      </c>
      <c r="G50" s="98">
        <v>16250</v>
      </c>
      <c r="H50" s="98">
        <v>16250</v>
      </c>
      <c r="I50" s="98">
        <v>16250</v>
      </c>
      <c r="J50" s="98"/>
    </row>
    <row r="51" spans="1:10" ht="14.25" hidden="1">
      <c r="A51" s="74" t="s">
        <v>434</v>
      </c>
      <c r="B51" s="10" t="s">
        <v>435</v>
      </c>
      <c r="C51" s="179" t="s">
        <v>391</v>
      </c>
      <c r="D51" s="392">
        <v>51768</v>
      </c>
      <c r="E51" s="393">
        <v>0</v>
      </c>
      <c r="F51" s="98">
        <v>14176</v>
      </c>
      <c r="G51" s="98">
        <v>16250</v>
      </c>
      <c r="H51" s="98">
        <v>16250</v>
      </c>
      <c r="I51" s="98">
        <v>16250</v>
      </c>
      <c r="J51" s="98"/>
    </row>
    <row r="52" spans="1:10" ht="14.25" hidden="1">
      <c r="A52" s="74" t="s">
        <v>263</v>
      </c>
      <c r="B52" s="10" t="s">
        <v>436</v>
      </c>
      <c r="C52" s="179" t="s">
        <v>391</v>
      </c>
      <c r="D52" s="392">
        <v>51768</v>
      </c>
      <c r="E52" s="393">
        <v>0</v>
      </c>
      <c r="F52" s="98">
        <v>14176</v>
      </c>
      <c r="G52" s="98">
        <v>16250</v>
      </c>
      <c r="H52" s="98">
        <v>16250</v>
      </c>
      <c r="I52" s="98">
        <v>16250</v>
      </c>
      <c r="J52" s="98"/>
    </row>
    <row r="53" spans="1:10" ht="14.25" hidden="1">
      <c r="A53" s="74" t="s">
        <v>437</v>
      </c>
      <c r="B53" s="10" t="s">
        <v>438</v>
      </c>
      <c r="C53" s="179" t="s">
        <v>391</v>
      </c>
      <c r="D53" s="392">
        <v>51768</v>
      </c>
      <c r="E53" s="393">
        <v>0</v>
      </c>
      <c r="F53" s="98">
        <v>14176</v>
      </c>
      <c r="G53" s="98">
        <v>16250</v>
      </c>
      <c r="H53" s="98">
        <v>16250</v>
      </c>
      <c r="I53" s="98">
        <v>16250</v>
      </c>
      <c r="J53" s="98"/>
    </row>
    <row r="54" spans="1:10" ht="14.25" hidden="1">
      <c r="A54" s="74" t="s">
        <v>269</v>
      </c>
      <c r="B54" s="10" t="s">
        <v>439</v>
      </c>
      <c r="C54" s="179" t="s">
        <v>391</v>
      </c>
      <c r="D54" s="392">
        <v>51768</v>
      </c>
      <c r="E54" s="393">
        <v>0</v>
      </c>
      <c r="F54" s="98">
        <v>14176</v>
      </c>
      <c r="G54" s="98">
        <v>16250</v>
      </c>
      <c r="H54" s="98">
        <v>16250</v>
      </c>
      <c r="I54" s="98">
        <v>16250</v>
      </c>
      <c r="J54" s="98"/>
    </row>
    <row r="55" spans="1:10" ht="14.25" hidden="1">
      <c r="A55" s="74" t="s">
        <v>440</v>
      </c>
      <c r="B55" s="10" t="s">
        <v>441</v>
      </c>
      <c r="C55" s="179" t="s">
        <v>391</v>
      </c>
      <c r="D55" s="392">
        <v>51768</v>
      </c>
      <c r="E55" s="393">
        <v>0</v>
      </c>
      <c r="F55" s="98">
        <v>14176</v>
      </c>
      <c r="G55" s="98">
        <v>16250</v>
      </c>
      <c r="H55" s="98">
        <v>16250</v>
      </c>
      <c r="I55" s="98">
        <v>16250</v>
      </c>
      <c r="J55" s="98"/>
    </row>
    <row r="56" spans="1:10" ht="14.25" hidden="1">
      <c r="A56" s="74" t="s">
        <v>442</v>
      </c>
      <c r="B56" s="10" t="s">
        <v>443</v>
      </c>
      <c r="C56" s="10" t="s">
        <v>391</v>
      </c>
      <c r="D56" s="398">
        <v>60234</v>
      </c>
      <c r="E56" s="382">
        <v>0</v>
      </c>
      <c r="F56" s="98">
        <v>15679</v>
      </c>
      <c r="G56" s="98">
        <v>18907</v>
      </c>
      <c r="H56" s="98">
        <v>18907</v>
      </c>
      <c r="I56" s="98">
        <v>18907</v>
      </c>
      <c r="J56" s="98"/>
    </row>
    <row r="57" spans="1:10" ht="14.25" hidden="1">
      <c r="A57" s="376" t="s">
        <v>273</v>
      </c>
      <c r="B57" s="377" t="s">
        <v>444</v>
      </c>
      <c r="C57" s="377" t="s">
        <v>391</v>
      </c>
      <c r="D57" s="98">
        <v>61100</v>
      </c>
      <c r="E57" s="382">
        <v>0</v>
      </c>
      <c r="F57" s="98">
        <v>15832</v>
      </c>
      <c r="G57" s="98">
        <v>19179</v>
      </c>
      <c r="H57" s="98">
        <v>19179</v>
      </c>
      <c r="I57" s="98">
        <v>19179</v>
      </c>
      <c r="J57" s="98"/>
    </row>
    <row r="58" spans="1:10" ht="14.25" hidden="1">
      <c r="A58" s="380" t="s">
        <v>281</v>
      </c>
      <c r="B58" s="23" t="s">
        <v>445</v>
      </c>
      <c r="C58" s="23" t="s">
        <v>446</v>
      </c>
      <c r="D58" s="381">
        <v>34646</v>
      </c>
      <c r="E58" s="382">
        <v>0</v>
      </c>
      <c r="F58" s="98">
        <v>9990</v>
      </c>
      <c r="G58" s="98">
        <v>10875</v>
      </c>
      <c r="H58" s="98">
        <v>10875</v>
      </c>
      <c r="I58" s="98">
        <v>10875</v>
      </c>
      <c r="J58" s="98"/>
    </row>
    <row r="59" spans="1:10" ht="14.25" hidden="1">
      <c r="A59" s="389" t="s">
        <v>447</v>
      </c>
      <c r="B59" s="390" t="s">
        <v>448</v>
      </c>
      <c r="C59" s="390" t="s">
        <v>446</v>
      </c>
      <c r="D59" s="98">
        <v>63772</v>
      </c>
      <c r="E59" s="382">
        <v>0</v>
      </c>
      <c r="F59" s="98">
        <v>15162</v>
      </c>
      <c r="G59" s="98">
        <v>20018</v>
      </c>
      <c r="H59" s="98">
        <v>20018</v>
      </c>
      <c r="I59" s="98">
        <v>20018</v>
      </c>
      <c r="J59" s="98"/>
    </row>
    <row r="60" spans="1:10" ht="14.25" hidden="1">
      <c r="A60" s="74" t="s">
        <v>297</v>
      </c>
      <c r="B60" s="10" t="s">
        <v>449</v>
      </c>
      <c r="C60" s="10" t="s">
        <v>446</v>
      </c>
      <c r="D60" s="98">
        <v>53572</v>
      </c>
      <c r="E60" s="382">
        <v>0</v>
      </c>
      <c r="F60" s="98">
        <v>13350</v>
      </c>
      <c r="G60" s="98">
        <v>16816</v>
      </c>
      <c r="H60" s="98">
        <v>16816</v>
      </c>
      <c r="I60" s="98">
        <v>16816</v>
      </c>
      <c r="J60" s="98"/>
    </row>
    <row r="61" spans="1:10" ht="14.25" hidden="1">
      <c r="A61" s="376" t="s">
        <v>287</v>
      </c>
      <c r="B61" s="377" t="s">
        <v>450</v>
      </c>
      <c r="C61" s="377" t="s">
        <v>446</v>
      </c>
      <c r="D61" s="98">
        <v>54330</v>
      </c>
      <c r="E61" s="382">
        <v>0</v>
      </c>
      <c r="F61" s="98">
        <v>13486</v>
      </c>
      <c r="G61" s="98">
        <v>17054</v>
      </c>
      <c r="H61" s="98">
        <v>17054</v>
      </c>
      <c r="I61" s="98">
        <v>17054</v>
      </c>
      <c r="J61" s="98"/>
    </row>
    <row r="62" spans="1:10" ht="14.25" hidden="1">
      <c r="A62" s="380" t="s">
        <v>451</v>
      </c>
      <c r="B62" s="23" t="s">
        <v>452</v>
      </c>
      <c r="C62" s="23" t="s">
        <v>446</v>
      </c>
      <c r="D62" s="381">
        <v>27274</v>
      </c>
      <c r="E62" s="382">
        <v>0</v>
      </c>
      <c r="F62" s="98">
        <v>8680</v>
      </c>
      <c r="G62" s="98">
        <v>8561</v>
      </c>
      <c r="H62" s="98">
        <v>8561</v>
      </c>
      <c r="I62" s="98">
        <v>8561</v>
      </c>
      <c r="J62" s="98"/>
    </row>
    <row r="63" spans="1:10" ht="14.25" hidden="1">
      <c r="A63" s="385" t="s">
        <v>279</v>
      </c>
      <c r="B63" s="386" t="s">
        <v>453</v>
      </c>
      <c r="C63" s="386" t="s">
        <v>446</v>
      </c>
      <c r="D63" s="98">
        <v>36434</v>
      </c>
      <c r="E63" s="382">
        <v>0</v>
      </c>
      <c r="F63" s="98">
        <v>10308</v>
      </c>
      <c r="G63" s="98">
        <v>11437</v>
      </c>
      <c r="H63" s="98">
        <v>11437</v>
      </c>
      <c r="I63" s="98">
        <v>11437</v>
      </c>
      <c r="J63" s="98"/>
    </row>
    <row r="64" spans="1:10" ht="14.25" hidden="1">
      <c r="A64" s="380" t="s">
        <v>285</v>
      </c>
      <c r="B64" s="23" t="s">
        <v>454</v>
      </c>
      <c r="C64" s="23" t="s">
        <v>446</v>
      </c>
      <c r="D64" s="381">
        <v>32748</v>
      </c>
      <c r="E64" s="382">
        <v>0</v>
      </c>
      <c r="F64" s="98">
        <v>9652</v>
      </c>
      <c r="G64" s="98">
        <v>10280</v>
      </c>
      <c r="H64" s="98">
        <v>10280</v>
      </c>
      <c r="I64" s="98">
        <v>10280</v>
      </c>
      <c r="J64" s="98"/>
    </row>
    <row r="65" spans="1:10" ht="14.25" hidden="1">
      <c r="A65" s="380" t="s">
        <v>277</v>
      </c>
      <c r="B65" s="23" t="s">
        <v>455</v>
      </c>
      <c r="C65" s="23" t="s">
        <v>446</v>
      </c>
      <c r="D65" s="381">
        <v>33140</v>
      </c>
      <c r="E65" s="382">
        <v>0</v>
      </c>
      <c r="F65" s="98">
        <v>8376</v>
      </c>
      <c r="G65" s="98">
        <v>10403</v>
      </c>
      <c r="H65" s="98">
        <v>10403</v>
      </c>
      <c r="I65" s="98">
        <v>10403</v>
      </c>
      <c r="J65" s="98"/>
    </row>
    <row r="66" spans="1:10" ht="14.25" hidden="1">
      <c r="A66" s="385" t="s">
        <v>283</v>
      </c>
      <c r="B66" s="386" t="s">
        <v>456</v>
      </c>
      <c r="C66" s="386" t="s">
        <v>446</v>
      </c>
      <c r="D66" s="98">
        <v>38256</v>
      </c>
      <c r="E66" s="382">
        <v>0</v>
      </c>
      <c r="F66" s="98">
        <v>10630</v>
      </c>
      <c r="G66" s="98">
        <v>12009</v>
      </c>
      <c r="H66" s="98">
        <v>12009</v>
      </c>
      <c r="I66" s="98">
        <v>12009</v>
      </c>
      <c r="J66" s="98"/>
    </row>
    <row r="67" spans="1:10" ht="14.25">
      <c r="A67" s="380" t="s">
        <v>259</v>
      </c>
      <c r="B67" s="23" t="s">
        <v>457</v>
      </c>
      <c r="C67" s="23" t="s">
        <v>458</v>
      </c>
      <c r="D67" s="381">
        <v>23916</v>
      </c>
      <c r="E67" s="382">
        <v>0</v>
      </c>
      <c r="F67" s="98">
        <v>7858</v>
      </c>
      <c r="G67" s="98">
        <v>7507</v>
      </c>
      <c r="H67" s="98">
        <v>7507</v>
      </c>
      <c r="I67" s="98">
        <v>7507</v>
      </c>
      <c r="J67" s="98"/>
    </row>
    <row r="68" spans="1:10" ht="14.25" hidden="1">
      <c r="A68" s="380" t="s">
        <v>295</v>
      </c>
      <c r="B68" s="23" t="s">
        <v>459</v>
      </c>
      <c r="C68" s="23" t="s">
        <v>446</v>
      </c>
      <c r="D68" s="381">
        <v>47798</v>
      </c>
      <c r="E68" s="382">
        <v>0</v>
      </c>
      <c r="F68" s="98">
        <v>12326</v>
      </c>
      <c r="G68" s="98">
        <v>15004</v>
      </c>
      <c r="H68" s="98">
        <v>15004</v>
      </c>
      <c r="I68" s="98">
        <v>15004</v>
      </c>
      <c r="J68" s="98"/>
    </row>
    <row r="69" spans="1:10" ht="14.25" hidden="1">
      <c r="A69" s="385" t="s">
        <v>299</v>
      </c>
      <c r="B69" s="386" t="s">
        <v>460</v>
      </c>
      <c r="C69" s="386" t="s">
        <v>446</v>
      </c>
      <c r="D69" s="98">
        <v>62504</v>
      </c>
      <c r="E69" s="382">
        <v>0</v>
      </c>
      <c r="F69" s="98">
        <v>14938</v>
      </c>
      <c r="G69" s="98">
        <v>19620</v>
      </c>
      <c r="H69" s="98">
        <v>19620</v>
      </c>
      <c r="I69" s="98">
        <v>19620</v>
      </c>
      <c r="J69" s="98"/>
    </row>
    <row r="70" spans="1:10" ht="14.25" hidden="1">
      <c r="A70" s="380" t="s">
        <v>289</v>
      </c>
      <c r="B70" s="23" t="s">
        <v>461</v>
      </c>
      <c r="C70" s="23" t="s">
        <v>446</v>
      </c>
      <c r="D70" s="381">
        <v>29876</v>
      </c>
      <c r="E70" s="382">
        <v>0</v>
      </c>
      <c r="F70" s="98">
        <v>9142</v>
      </c>
      <c r="G70" s="98">
        <v>9378</v>
      </c>
      <c r="H70" s="98">
        <v>9378</v>
      </c>
      <c r="I70" s="98">
        <v>9378</v>
      </c>
      <c r="J70" s="98"/>
    </row>
    <row r="71" spans="1:10" ht="14.25" hidden="1">
      <c r="A71" s="380" t="s">
        <v>291</v>
      </c>
      <c r="B71" s="23" t="s">
        <v>462</v>
      </c>
      <c r="C71" s="23" t="s">
        <v>446</v>
      </c>
      <c r="D71" s="381">
        <v>38530</v>
      </c>
      <c r="E71" s="382">
        <v>0</v>
      </c>
      <c r="F71" s="98">
        <v>10679</v>
      </c>
      <c r="G71" s="98">
        <v>12095</v>
      </c>
      <c r="H71" s="98">
        <v>12095</v>
      </c>
      <c r="I71" s="98">
        <v>12095</v>
      </c>
      <c r="J71" s="98"/>
    </row>
    <row r="72" spans="1:10" ht="14.25" hidden="1">
      <c r="A72" s="380" t="s">
        <v>293</v>
      </c>
      <c r="B72" s="23" t="s">
        <v>463</v>
      </c>
      <c r="C72" s="23" t="s">
        <v>446</v>
      </c>
      <c r="D72" s="381">
        <v>47184</v>
      </c>
      <c r="E72" s="382">
        <v>0</v>
      </c>
      <c r="F72" s="98">
        <v>12216</v>
      </c>
      <c r="G72" s="98">
        <v>14811</v>
      </c>
      <c r="H72" s="98">
        <v>14811</v>
      </c>
      <c r="I72" s="98">
        <v>14811</v>
      </c>
      <c r="J72" s="98"/>
    </row>
    <row r="73" spans="1:10" ht="14.25" hidden="1">
      <c r="A73" s="389" t="s">
        <v>464</v>
      </c>
      <c r="B73" s="390" t="s">
        <v>465</v>
      </c>
      <c r="C73" s="390" t="s">
        <v>377</v>
      </c>
      <c r="D73" s="98">
        <v>100194</v>
      </c>
      <c r="E73" s="382">
        <v>0</v>
      </c>
      <c r="F73" s="98">
        <v>21584</v>
      </c>
      <c r="G73" s="98">
        <v>31451</v>
      </c>
      <c r="H73" s="98">
        <v>31451</v>
      </c>
      <c r="I73" s="98">
        <v>31451</v>
      </c>
      <c r="J73" s="98"/>
    </row>
    <row r="74" spans="1:10" ht="14.25" hidden="1">
      <c r="A74" s="74" t="s">
        <v>466</v>
      </c>
      <c r="B74" s="10" t="s">
        <v>467</v>
      </c>
      <c r="C74" s="10" t="s">
        <v>377</v>
      </c>
      <c r="D74" s="98">
        <v>106000</v>
      </c>
      <c r="E74" s="382">
        <v>0</v>
      </c>
      <c r="F74" s="98">
        <v>22616</v>
      </c>
      <c r="G74" s="98">
        <v>33273</v>
      </c>
      <c r="H74" s="98">
        <v>33273</v>
      </c>
      <c r="I74" s="98">
        <v>33273</v>
      </c>
      <c r="J74" s="98"/>
    </row>
    <row r="75" spans="1:10" ht="14.25" hidden="1">
      <c r="A75" s="74" t="s">
        <v>468</v>
      </c>
      <c r="B75" s="10" t="s">
        <v>469</v>
      </c>
      <c r="C75" s="10" t="s">
        <v>377</v>
      </c>
      <c r="D75" s="98">
        <v>120000</v>
      </c>
      <c r="E75" s="382">
        <v>0</v>
      </c>
      <c r="F75" s="98">
        <v>25102</v>
      </c>
      <c r="G75" s="98">
        <v>37668</v>
      </c>
      <c r="H75" s="98">
        <v>37668</v>
      </c>
      <c r="I75" s="98">
        <v>37668</v>
      </c>
      <c r="J75" s="98"/>
    </row>
    <row r="76" spans="1:10" ht="14.25" hidden="1">
      <c r="A76" s="74" t="s">
        <v>470</v>
      </c>
      <c r="B76" s="10" t="s">
        <v>471</v>
      </c>
      <c r="C76" s="10" t="s">
        <v>377</v>
      </c>
      <c r="D76" s="98">
        <v>200000</v>
      </c>
      <c r="E76" s="382">
        <v>0</v>
      </c>
      <c r="F76" s="98">
        <v>39310</v>
      </c>
      <c r="G76" s="98">
        <v>62780</v>
      </c>
      <c r="H76" s="98">
        <v>62780</v>
      </c>
      <c r="I76" s="98">
        <v>62780</v>
      </c>
      <c r="J76" s="98"/>
    </row>
    <row r="77" spans="1:10" ht="14.25" hidden="1">
      <c r="A77" s="74" t="s">
        <v>472</v>
      </c>
      <c r="B77" s="10" t="s">
        <v>473</v>
      </c>
      <c r="C77" s="10" t="s">
        <v>377</v>
      </c>
      <c r="D77" s="98">
        <v>110000</v>
      </c>
      <c r="E77" s="382">
        <v>0</v>
      </c>
      <c r="F77" s="98">
        <v>23326</v>
      </c>
      <c r="G77" s="98">
        <v>34529</v>
      </c>
      <c r="H77" s="98">
        <v>34529</v>
      </c>
      <c r="I77" s="98">
        <v>34529</v>
      </c>
      <c r="J77" s="98"/>
    </row>
    <row r="78" spans="1:10" ht="14.25" hidden="1">
      <c r="A78" s="74" t="s">
        <v>474</v>
      </c>
      <c r="B78" s="10" t="s">
        <v>475</v>
      </c>
      <c r="C78" s="10" t="s">
        <v>377</v>
      </c>
      <c r="D78" s="98">
        <v>120000</v>
      </c>
      <c r="E78" s="382">
        <v>0</v>
      </c>
      <c r="F78" s="98">
        <v>25102</v>
      </c>
      <c r="G78" s="98">
        <v>37668</v>
      </c>
      <c r="H78" s="98">
        <v>37668</v>
      </c>
      <c r="I78" s="98">
        <v>37668</v>
      </c>
      <c r="J78" s="98"/>
    </row>
    <row r="79" spans="1:10" ht="14.25" hidden="1">
      <c r="A79" s="74" t="s">
        <v>476</v>
      </c>
      <c r="B79" s="10" t="s">
        <v>477</v>
      </c>
      <c r="C79" s="10" t="s">
        <v>377</v>
      </c>
      <c r="D79" s="98">
        <v>120830</v>
      </c>
      <c r="E79" s="382">
        <v>0</v>
      </c>
      <c r="F79" s="98">
        <v>25249</v>
      </c>
      <c r="G79" s="98">
        <v>37929</v>
      </c>
      <c r="H79" s="98">
        <v>37929</v>
      </c>
      <c r="I79" s="98">
        <v>37929</v>
      </c>
      <c r="J79" s="98"/>
    </row>
    <row r="80" spans="1:10" ht="14.25" hidden="1">
      <c r="A80" s="74" t="s">
        <v>478</v>
      </c>
      <c r="B80" s="10" t="s">
        <v>479</v>
      </c>
      <c r="C80" s="10" t="s">
        <v>377</v>
      </c>
      <c r="D80" s="98">
        <v>72872</v>
      </c>
      <c r="E80" s="382">
        <v>0</v>
      </c>
      <c r="F80" s="98">
        <v>16732</v>
      </c>
      <c r="G80" s="98">
        <v>22875</v>
      </c>
      <c r="H80" s="98">
        <v>22875</v>
      </c>
      <c r="I80" s="98">
        <v>22875</v>
      </c>
      <c r="J80" s="98"/>
    </row>
    <row r="81" spans="1:10" ht="14.25" hidden="1">
      <c r="A81" s="74" t="s">
        <v>480</v>
      </c>
      <c r="B81" s="10" t="s">
        <v>481</v>
      </c>
      <c r="C81" s="10" t="s">
        <v>377</v>
      </c>
      <c r="D81" s="98">
        <v>130210</v>
      </c>
      <c r="E81" s="382">
        <v>0</v>
      </c>
      <c r="F81" s="98">
        <v>26915</v>
      </c>
      <c r="G81" s="98">
        <v>40873</v>
      </c>
      <c r="H81" s="98">
        <v>40873</v>
      </c>
      <c r="I81" s="98">
        <v>40873</v>
      </c>
      <c r="J81" s="98"/>
    </row>
    <row r="82" spans="1:10" ht="14.25" hidden="1">
      <c r="A82" s="74" t="s">
        <v>482</v>
      </c>
      <c r="B82" s="10" t="s">
        <v>483</v>
      </c>
      <c r="C82" s="10" t="s">
        <v>377</v>
      </c>
      <c r="D82" s="98">
        <v>160752</v>
      </c>
      <c r="E82" s="382">
        <v>0</v>
      </c>
      <c r="F82" s="98">
        <v>32340</v>
      </c>
      <c r="G82" s="98">
        <v>50460</v>
      </c>
      <c r="H82" s="98">
        <v>50460</v>
      </c>
      <c r="I82" s="98">
        <v>50460</v>
      </c>
      <c r="J82" s="98"/>
    </row>
    <row r="83" spans="1:10" ht="14.25" hidden="1">
      <c r="A83" s="74" t="s">
        <v>484</v>
      </c>
      <c r="B83" s="10" t="s">
        <v>485</v>
      </c>
      <c r="C83" s="10" t="s">
        <v>377</v>
      </c>
      <c r="D83" s="98">
        <v>110000</v>
      </c>
      <c r="E83" s="382">
        <v>0</v>
      </c>
      <c r="F83" s="98">
        <v>23326</v>
      </c>
      <c r="G83" s="98">
        <v>34529</v>
      </c>
      <c r="H83" s="98">
        <v>34529</v>
      </c>
      <c r="I83" s="98">
        <v>34529</v>
      </c>
      <c r="J83" s="98"/>
    </row>
    <row r="84" spans="1:10" ht="14.25" hidden="1">
      <c r="A84" s="74" t="s">
        <v>486</v>
      </c>
      <c r="B84" s="10" t="s">
        <v>487</v>
      </c>
      <c r="C84" s="10" t="s">
        <v>377</v>
      </c>
      <c r="D84" s="98">
        <v>111454</v>
      </c>
      <c r="E84" s="382">
        <v>0</v>
      </c>
      <c r="F84" s="98">
        <v>23584</v>
      </c>
      <c r="G84" s="98">
        <v>34985</v>
      </c>
      <c r="H84" s="98">
        <v>34985</v>
      </c>
      <c r="I84" s="98">
        <v>34985</v>
      </c>
      <c r="J84" s="98"/>
    </row>
    <row r="85" spans="1:10" ht="14.25" hidden="1">
      <c r="A85" s="74" t="s">
        <v>488</v>
      </c>
      <c r="B85" s="10" t="s">
        <v>489</v>
      </c>
      <c r="C85" s="10" t="s">
        <v>377</v>
      </c>
      <c r="D85" s="98">
        <v>111984</v>
      </c>
      <c r="E85" s="382">
        <v>0</v>
      </c>
      <c r="F85" s="98">
        <v>23678</v>
      </c>
      <c r="G85" s="98">
        <v>35152</v>
      </c>
      <c r="H85" s="98">
        <v>35152</v>
      </c>
      <c r="I85" s="98">
        <v>35152</v>
      </c>
      <c r="J85" s="98"/>
    </row>
    <row r="86" spans="1:10" ht="14.25" hidden="1">
      <c r="A86" s="74" t="s">
        <v>490</v>
      </c>
      <c r="B86" s="10" t="s">
        <v>491</v>
      </c>
      <c r="C86" s="10" t="s">
        <v>377</v>
      </c>
      <c r="D86" s="98">
        <v>176000</v>
      </c>
      <c r="E86" s="382">
        <v>0</v>
      </c>
      <c r="F86" s="98">
        <v>35048</v>
      </c>
      <c r="G86" s="98">
        <v>55246</v>
      </c>
      <c r="H86" s="98">
        <v>55246</v>
      </c>
      <c r="I86" s="98">
        <v>55246</v>
      </c>
      <c r="J86" s="98"/>
    </row>
    <row r="87" spans="1:10" ht="14.25" hidden="1">
      <c r="A87" s="74" t="s">
        <v>492</v>
      </c>
      <c r="B87" s="10" t="s">
        <v>493</v>
      </c>
      <c r="C87" s="10" t="s">
        <v>377</v>
      </c>
      <c r="D87" s="98">
        <v>123772</v>
      </c>
      <c r="E87" s="382">
        <v>0</v>
      </c>
      <c r="F87" s="98">
        <v>25772</v>
      </c>
      <c r="G87" s="98">
        <v>38852</v>
      </c>
      <c r="H87" s="98">
        <v>38852</v>
      </c>
      <c r="I87" s="98">
        <v>38852</v>
      </c>
      <c r="J87" s="98"/>
    </row>
    <row r="88" spans="1:10" ht="14.25" hidden="1">
      <c r="A88" s="74" t="s">
        <v>494</v>
      </c>
      <c r="B88" s="10" t="s">
        <v>495</v>
      </c>
      <c r="C88" s="10" t="s">
        <v>377</v>
      </c>
      <c r="D88" s="98">
        <v>115000</v>
      </c>
      <c r="E88" s="382">
        <v>0</v>
      </c>
      <c r="F88" s="98">
        <v>24214</v>
      </c>
      <c r="G88" s="98">
        <v>36099</v>
      </c>
      <c r="H88" s="98">
        <v>36099</v>
      </c>
      <c r="I88" s="98">
        <v>36099</v>
      </c>
      <c r="J88" s="98"/>
    </row>
    <row r="89" spans="1:10" ht="14.25" hidden="1">
      <c r="A89" s="74" t="s">
        <v>496</v>
      </c>
      <c r="B89" s="10" t="s">
        <v>497</v>
      </c>
      <c r="C89" s="10" t="s">
        <v>377</v>
      </c>
      <c r="D89" s="98">
        <v>86090</v>
      </c>
      <c r="E89" s="382">
        <v>0</v>
      </c>
      <c r="F89" s="98">
        <v>19080</v>
      </c>
      <c r="G89" s="98">
        <v>27024</v>
      </c>
      <c r="H89" s="98">
        <v>27024</v>
      </c>
      <c r="I89" s="98">
        <v>27024</v>
      </c>
      <c r="J89" s="98"/>
    </row>
    <row r="90" spans="1:10" ht="14.25" hidden="1">
      <c r="A90" s="74" t="s">
        <v>498</v>
      </c>
      <c r="B90" s="10" t="s">
        <v>499</v>
      </c>
      <c r="C90" s="10" t="s">
        <v>377</v>
      </c>
      <c r="D90" s="98">
        <v>75190</v>
      </c>
      <c r="E90" s="382">
        <v>0</v>
      </c>
      <c r="F90" s="98">
        <v>17144</v>
      </c>
      <c r="G90" s="98">
        <v>23602</v>
      </c>
      <c r="H90" s="98">
        <v>23602</v>
      </c>
      <c r="I90" s="98">
        <v>23602</v>
      </c>
      <c r="J90" s="98"/>
    </row>
    <row r="91" spans="1:10" ht="14.25" hidden="1">
      <c r="A91" s="74" t="s">
        <v>500</v>
      </c>
      <c r="B91" s="10" t="s">
        <v>501</v>
      </c>
      <c r="C91" s="10" t="s">
        <v>377</v>
      </c>
      <c r="D91" s="98">
        <v>92500</v>
      </c>
      <c r="E91" s="382">
        <v>0</v>
      </c>
      <c r="F91" s="98">
        <v>20218</v>
      </c>
      <c r="G91" s="98">
        <v>29036</v>
      </c>
      <c r="H91" s="98">
        <v>29036</v>
      </c>
      <c r="I91" s="98">
        <v>29036</v>
      </c>
      <c r="J91" s="98"/>
    </row>
    <row r="92" spans="1:10" ht="14.25" hidden="1">
      <c r="A92" s="74" t="s">
        <v>502</v>
      </c>
      <c r="B92" s="10" t="s">
        <v>503</v>
      </c>
      <c r="C92" s="10" t="s">
        <v>377</v>
      </c>
      <c r="D92" s="98">
        <v>80000</v>
      </c>
      <c r="E92" s="382">
        <v>0</v>
      </c>
      <c r="F92" s="98">
        <v>17998</v>
      </c>
      <c r="G92" s="98">
        <v>25112</v>
      </c>
      <c r="H92" s="98">
        <v>25112</v>
      </c>
      <c r="I92" s="98">
        <v>25112</v>
      </c>
      <c r="J92" s="98"/>
    </row>
    <row r="93" spans="1:10" ht="14.25" hidden="1">
      <c r="A93" s="74" t="s">
        <v>504</v>
      </c>
      <c r="B93" s="10" t="s">
        <v>505</v>
      </c>
      <c r="C93" s="10" t="s">
        <v>377</v>
      </c>
      <c r="D93" s="98">
        <v>115490</v>
      </c>
      <c r="E93" s="382">
        <v>0</v>
      </c>
      <c r="F93" s="98">
        <v>24301</v>
      </c>
      <c r="G93" s="98">
        <v>36252</v>
      </c>
      <c r="H93" s="98">
        <v>36252</v>
      </c>
      <c r="I93" s="98">
        <v>36252</v>
      </c>
      <c r="J93" s="98"/>
    </row>
    <row r="94" spans="1:10" ht="14.25" hidden="1">
      <c r="A94" s="74" t="s">
        <v>506</v>
      </c>
      <c r="B94" s="10" t="s">
        <v>507</v>
      </c>
      <c r="C94" s="10" t="s">
        <v>377</v>
      </c>
      <c r="D94" s="98">
        <v>105000</v>
      </c>
      <c r="E94" s="382">
        <v>0</v>
      </c>
      <c r="F94" s="98">
        <v>22438</v>
      </c>
      <c r="G94" s="98">
        <v>32960</v>
      </c>
      <c r="H94" s="98">
        <v>32960</v>
      </c>
      <c r="I94" s="98">
        <v>32960</v>
      </c>
      <c r="J94" s="98"/>
    </row>
    <row r="95" spans="1:10" ht="14.25" hidden="1">
      <c r="A95" s="74" t="s">
        <v>508</v>
      </c>
      <c r="B95" s="10" t="s">
        <v>509</v>
      </c>
      <c r="C95" s="10" t="s">
        <v>377</v>
      </c>
      <c r="D95" s="98">
        <v>72558</v>
      </c>
      <c r="E95" s="382">
        <v>0</v>
      </c>
      <c r="F95" s="98">
        <v>16676</v>
      </c>
      <c r="G95" s="98">
        <v>22776</v>
      </c>
      <c r="H95" s="98">
        <v>22776</v>
      </c>
      <c r="I95" s="98">
        <v>22776</v>
      </c>
      <c r="J95" s="98"/>
    </row>
    <row r="96" spans="1:10" ht="14.25" hidden="1">
      <c r="A96" s="74" t="s">
        <v>510</v>
      </c>
      <c r="B96" s="10" t="s">
        <v>511</v>
      </c>
      <c r="C96" s="10" t="s">
        <v>377</v>
      </c>
      <c r="D96" s="98">
        <v>64574</v>
      </c>
      <c r="E96" s="382">
        <v>0</v>
      </c>
      <c r="F96" s="98">
        <v>15258</v>
      </c>
      <c r="G96" s="98">
        <v>20270</v>
      </c>
      <c r="H96" s="98">
        <v>20270</v>
      </c>
      <c r="I96" s="98">
        <v>20270</v>
      </c>
      <c r="J96" s="98"/>
    </row>
    <row r="97" spans="1:10" ht="14.25" hidden="1">
      <c r="A97" s="74" t="s">
        <v>55</v>
      </c>
      <c r="B97" s="10" t="s">
        <v>512</v>
      </c>
      <c r="C97" s="10" t="s">
        <v>377</v>
      </c>
      <c r="D97" s="98">
        <v>95648</v>
      </c>
      <c r="E97" s="382">
        <v>0</v>
      </c>
      <c r="F97" s="98">
        <v>20778</v>
      </c>
      <c r="G97" s="98">
        <v>30024</v>
      </c>
      <c r="H97" s="98">
        <v>30024</v>
      </c>
      <c r="I97" s="98">
        <v>30024</v>
      </c>
      <c r="J97" s="98"/>
    </row>
    <row r="98" spans="1:10" ht="14.25" hidden="1">
      <c r="A98" s="74" t="s">
        <v>513</v>
      </c>
      <c r="B98" s="10" t="s">
        <v>514</v>
      </c>
      <c r="C98" s="10" t="s">
        <v>377</v>
      </c>
      <c r="D98" s="98">
        <v>65068</v>
      </c>
      <c r="E98" s="382">
        <v>0</v>
      </c>
      <c r="F98" s="98">
        <v>15346</v>
      </c>
      <c r="G98" s="98">
        <v>20425</v>
      </c>
      <c r="H98" s="98">
        <v>20425</v>
      </c>
      <c r="I98" s="98">
        <v>20425</v>
      </c>
      <c r="J98" s="98"/>
    </row>
    <row r="99" spans="1:10" ht="14.25" hidden="1">
      <c r="A99" s="74" t="s">
        <v>56</v>
      </c>
      <c r="B99" s="10" t="s">
        <v>515</v>
      </c>
      <c r="C99" s="10" t="s">
        <v>377</v>
      </c>
      <c r="D99" s="98">
        <v>75402</v>
      </c>
      <c r="E99" s="382">
        <v>0</v>
      </c>
      <c r="F99" s="98">
        <v>17182</v>
      </c>
      <c r="G99" s="98">
        <v>23669</v>
      </c>
      <c r="H99" s="98">
        <v>23669</v>
      </c>
      <c r="I99" s="98">
        <v>23669</v>
      </c>
      <c r="J99" s="98"/>
    </row>
    <row r="100" spans="1:10" ht="14.25" hidden="1">
      <c r="A100" s="74" t="s">
        <v>516</v>
      </c>
      <c r="B100" s="10" t="s">
        <v>517</v>
      </c>
      <c r="C100" s="10" t="s">
        <v>377</v>
      </c>
      <c r="D100" s="98">
        <v>100000</v>
      </c>
      <c r="E100" s="382">
        <v>0</v>
      </c>
      <c r="F100" s="98">
        <v>21550</v>
      </c>
      <c r="G100" s="98">
        <v>31390</v>
      </c>
      <c r="H100" s="98">
        <v>31390</v>
      </c>
      <c r="I100" s="98">
        <v>31390</v>
      </c>
      <c r="J100" s="98"/>
    </row>
    <row r="101" spans="1:10" ht="14.25" hidden="1">
      <c r="A101" s="74" t="s">
        <v>518</v>
      </c>
      <c r="B101" s="10" t="s">
        <v>519</v>
      </c>
      <c r="C101" s="10" t="s">
        <v>377</v>
      </c>
      <c r="D101" s="98">
        <v>92862</v>
      </c>
      <c r="E101" s="382">
        <v>0</v>
      </c>
      <c r="F101" s="98">
        <v>20282</v>
      </c>
      <c r="G101" s="98">
        <v>29149</v>
      </c>
      <c r="H101" s="98">
        <v>29149</v>
      </c>
      <c r="I101" s="98">
        <v>29149</v>
      </c>
      <c r="J101" s="98"/>
    </row>
    <row r="102" spans="1:10" ht="14.25" hidden="1">
      <c r="A102" s="74" t="s">
        <v>520</v>
      </c>
      <c r="B102" s="10" t="s">
        <v>521</v>
      </c>
      <c r="C102" s="10" t="s">
        <v>377</v>
      </c>
      <c r="D102" s="98">
        <v>102990</v>
      </c>
      <c r="E102" s="382">
        <v>0</v>
      </c>
      <c r="F102" s="98">
        <v>22081</v>
      </c>
      <c r="G102" s="98">
        <v>32329</v>
      </c>
      <c r="H102" s="98">
        <v>32329</v>
      </c>
      <c r="I102" s="98">
        <v>32329</v>
      </c>
      <c r="J102" s="98"/>
    </row>
    <row r="103" spans="1:10" ht="14.25" hidden="1">
      <c r="A103" s="74" t="s">
        <v>522</v>
      </c>
      <c r="B103" s="10" t="s">
        <v>523</v>
      </c>
      <c r="C103" s="10" t="s">
        <v>377</v>
      </c>
      <c r="D103" s="98">
        <v>108716</v>
      </c>
      <c r="E103" s="382">
        <v>0</v>
      </c>
      <c r="F103" s="98">
        <v>23098</v>
      </c>
      <c r="G103" s="98">
        <v>34126</v>
      </c>
      <c r="H103" s="98">
        <v>34126</v>
      </c>
      <c r="I103" s="98">
        <v>34126</v>
      </c>
      <c r="J103" s="98"/>
    </row>
    <row r="104" spans="1:10" ht="14.25" hidden="1">
      <c r="A104" s="74" t="s">
        <v>524</v>
      </c>
      <c r="B104" s="10" t="s">
        <v>525</v>
      </c>
      <c r="C104" s="10" t="s">
        <v>446</v>
      </c>
      <c r="D104" s="98">
        <v>67114</v>
      </c>
      <c r="E104" s="382">
        <v>0</v>
      </c>
      <c r="F104" s="98">
        <v>15755</v>
      </c>
      <c r="G104" s="98">
        <v>21067</v>
      </c>
      <c r="H104" s="98">
        <v>21067</v>
      </c>
      <c r="I104" s="98">
        <v>21067</v>
      </c>
      <c r="J104" s="98"/>
    </row>
    <row r="105" spans="1:10" ht="14.25" hidden="1">
      <c r="A105" s="74" t="s">
        <v>526</v>
      </c>
      <c r="B105" s="10" t="s">
        <v>527</v>
      </c>
      <c r="C105" s="10" t="s">
        <v>377</v>
      </c>
      <c r="D105" s="98">
        <v>110382</v>
      </c>
      <c r="E105" s="382">
        <v>0</v>
      </c>
      <c r="F105" s="98">
        <v>23394</v>
      </c>
      <c r="G105" s="98">
        <v>34649</v>
      </c>
      <c r="H105" s="98">
        <v>34649</v>
      </c>
      <c r="I105" s="98">
        <v>34649</v>
      </c>
      <c r="J105" s="98"/>
    </row>
    <row r="106" spans="1:10" ht="14.25" hidden="1">
      <c r="A106" s="74" t="s">
        <v>528</v>
      </c>
      <c r="B106" s="10" t="s">
        <v>529</v>
      </c>
      <c r="C106" s="10" t="s">
        <v>377</v>
      </c>
      <c r="D106" s="98">
        <v>106956</v>
      </c>
      <c r="E106" s="382">
        <v>0</v>
      </c>
      <c r="F106" s="98">
        <v>22785</v>
      </c>
      <c r="G106" s="98">
        <v>33573</v>
      </c>
      <c r="H106" s="98">
        <v>33573</v>
      </c>
      <c r="I106" s="98">
        <v>33573</v>
      </c>
      <c r="J106" s="98"/>
    </row>
    <row r="107" spans="1:10" ht="14.25" hidden="1">
      <c r="A107" s="74" t="s">
        <v>530</v>
      </c>
      <c r="B107" s="10" t="s">
        <v>531</v>
      </c>
      <c r="C107" s="10" t="s">
        <v>377</v>
      </c>
      <c r="D107" s="98">
        <v>112222</v>
      </c>
      <c r="E107" s="382">
        <v>0</v>
      </c>
      <c r="F107" s="98">
        <v>23721</v>
      </c>
      <c r="G107" s="98">
        <v>35226</v>
      </c>
      <c r="H107" s="98">
        <v>35226</v>
      </c>
      <c r="I107" s="98">
        <v>35226</v>
      </c>
      <c r="J107" s="98"/>
    </row>
    <row r="108" spans="1:10" ht="14.25" hidden="1">
      <c r="A108" s="74" t="s">
        <v>532</v>
      </c>
      <c r="B108" s="10" t="s">
        <v>533</v>
      </c>
      <c r="C108" s="10" t="s">
        <v>377</v>
      </c>
      <c r="D108" s="98">
        <v>126136</v>
      </c>
      <c r="E108" s="382">
        <v>0</v>
      </c>
      <c r="F108" s="98">
        <v>26192</v>
      </c>
      <c r="G108" s="98">
        <v>39594</v>
      </c>
      <c r="H108" s="98">
        <v>39594</v>
      </c>
      <c r="I108" s="98">
        <v>39594</v>
      </c>
      <c r="J108" s="98"/>
    </row>
    <row r="109" spans="1:10" ht="14.25" hidden="1">
      <c r="A109" s="74" t="s">
        <v>534</v>
      </c>
      <c r="B109" s="10" t="s">
        <v>535</v>
      </c>
      <c r="C109" s="10" t="s">
        <v>377</v>
      </c>
      <c r="D109" s="98">
        <v>87356</v>
      </c>
      <c r="E109" s="382">
        <v>0</v>
      </c>
      <c r="F109" s="98">
        <v>19304</v>
      </c>
      <c r="G109" s="98">
        <v>27421</v>
      </c>
      <c r="H109" s="98">
        <v>27421</v>
      </c>
      <c r="I109" s="98">
        <v>27421</v>
      </c>
      <c r="J109" s="98"/>
    </row>
    <row r="110" spans="1:10" ht="14.25" hidden="1">
      <c r="A110" s="74" t="s">
        <v>536</v>
      </c>
      <c r="B110" s="10" t="s">
        <v>537</v>
      </c>
      <c r="C110" s="10" t="s">
        <v>377</v>
      </c>
      <c r="D110" s="98">
        <v>110382</v>
      </c>
      <c r="E110" s="382">
        <v>0</v>
      </c>
      <c r="F110" s="98">
        <v>23394</v>
      </c>
      <c r="G110" s="98">
        <v>34649</v>
      </c>
      <c r="H110" s="98">
        <v>34649</v>
      </c>
      <c r="I110" s="98">
        <v>34649</v>
      </c>
      <c r="J110" s="98"/>
    </row>
    <row r="111" spans="1:10" ht="14.25" hidden="1">
      <c r="A111" s="74" t="s">
        <v>538</v>
      </c>
      <c r="B111" s="10" t="s">
        <v>539</v>
      </c>
      <c r="C111" s="10" t="s">
        <v>377</v>
      </c>
      <c r="D111" s="98">
        <v>95000</v>
      </c>
      <c r="E111" s="382">
        <v>0</v>
      </c>
      <c r="F111" s="98">
        <v>20662</v>
      </c>
      <c r="G111" s="98">
        <v>29821</v>
      </c>
      <c r="H111" s="98">
        <v>29821</v>
      </c>
      <c r="I111" s="98">
        <v>29821</v>
      </c>
      <c r="J111" s="98"/>
    </row>
    <row r="112" spans="1:10" ht="14.25" hidden="1">
      <c r="A112" s="74" t="s">
        <v>540</v>
      </c>
      <c r="B112" s="10" t="s">
        <v>541</v>
      </c>
      <c r="C112" s="10" t="s">
        <v>377</v>
      </c>
      <c r="D112" s="98">
        <v>87550</v>
      </c>
      <c r="E112" s="382">
        <v>0</v>
      </c>
      <c r="F112" s="98">
        <v>19339</v>
      </c>
      <c r="G112" s="98">
        <v>27482</v>
      </c>
      <c r="H112" s="98">
        <v>27482</v>
      </c>
      <c r="I112" s="98">
        <v>27482</v>
      </c>
      <c r="J112" s="98"/>
    </row>
    <row r="113" spans="1:10" ht="14.25" hidden="1">
      <c r="A113" s="74" t="s">
        <v>542</v>
      </c>
      <c r="B113" s="10" t="s">
        <v>543</v>
      </c>
      <c r="C113" s="10" t="s">
        <v>377</v>
      </c>
      <c r="D113" s="98">
        <v>90000</v>
      </c>
      <c r="E113" s="382">
        <v>0</v>
      </c>
      <c r="F113" s="98">
        <v>19774</v>
      </c>
      <c r="G113" s="98">
        <v>28251</v>
      </c>
      <c r="H113" s="98">
        <v>28251</v>
      </c>
      <c r="I113" s="98">
        <v>28251</v>
      </c>
      <c r="J113" s="98"/>
    </row>
    <row r="114" spans="1:10" ht="14.25" hidden="1">
      <c r="A114" s="74" t="s">
        <v>544</v>
      </c>
      <c r="B114" s="10" t="s">
        <v>545</v>
      </c>
      <c r="C114" s="10" t="s">
        <v>377</v>
      </c>
      <c r="D114" s="98">
        <v>100144</v>
      </c>
      <c r="E114" s="382">
        <v>0</v>
      </c>
      <c r="F114" s="98">
        <v>21576</v>
      </c>
      <c r="G114" s="98">
        <v>31435</v>
      </c>
      <c r="H114" s="98">
        <v>31435</v>
      </c>
      <c r="I114" s="98">
        <v>31435</v>
      </c>
      <c r="J114" s="98"/>
    </row>
    <row r="115" spans="1:10" ht="14.25" hidden="1">
      <c r="A115" s="74" t="s">
        <v>546</v>
      </c>
      <c r="B115" s="10" t="s">
        <v>547</v>
      </c>
      <c r="C115" s="10" t="s">
        <v>377</v>
      </c>
      <c r="D115" s="98">
        <v>114746</v>
      </c>
      <c r="E115" s="382">
        <v>0</v>
      </c>
      <c r="F115" s="98">
        <v>24169</v>
      </c>
      <c r="G115" s="98">
        <v>36019</v>
      </c>
      <c r="H115" s="98">
        <v>36019</v>
      </c>
      <c r="I115" s="98">
        <v>36019</v>
      </c>
      <c r="J115" s="98"/>
    </row>
    <row r="116" spans="1:10" ht="14.25" hidden="1">
      <c r="A116" s="74" t="s">
        <v>548</v>
      </c>
      <c r="B116" s="10" t="s">
        <v>549</v>
      </c>
      <c r="C116" s="10" t="s">
        <v>377</v>
      </c>
      <c r="D116" s="98">
        <v>107154</v>
      </c>
      <c r="E116" s="382">
        <v>0</v>
      </c>
      <c r="F116" s="98">
        <v>22821</v>
      </c>
      <c r="G116" s="98">
        <v>33636</v>
      </c>
      <c r="H116" s="98">
        <v>33636</v>
      </c>
      <c r="I116" s="98">
        <v>33636</v>
      </c>
      <c r="J116" s="98"/>
    </row>
    <row r="117" spans="1:10" ht="14.25" hidden="1">
      <c r="A117" s="74" t="s">
        <v>550</v>
      </c>
      <c r="B117" s="10" t="s">
        <v>551</v>
      </c>
      <c r="C117" s="10" t="s">
        <v>377</v>
      </c>
      <c r="D117" s="98">
        <v>75016</v>
      </c>
      <c r="E117" s="382">
        <v>0</v>
      </c>
      <c r="F117" s="98">
        <v>17113</v>
      </c>
      <c r="G117" s="98">
        <v>23548</v>
      </c>
      <c r="H117" s="98">
        <v>23548</v>
      </c>
      <c r="I117" s="98">
        <v>23548</v>
      </c>
      <c r="J117" s="98"/>
    </row>
    <row r="118" spans="1:10" ht="14.25" hidden="1">
      <c r="A118" s="74" t="s">
        <v>552</v>
      </c>
      <c r="B118" s="10" t="s">
        <v>553</v>
      </c>
      <c r="C118" s="10" t="s">
        <v>377</v>
      </c>
      <c r="D118" s="98">
        <v>89924</v>
      </c>
      <c r="E118" s="382">
        <v>0</v>
      </c>
      <c r="F118" s="98">
        <v>19761</v>
      </c>
      <c r="G118" s="98">
        <v>28227</v>
      </c>
      <c r="H118" s="98">
        <v>28227</v>
      </c>
      <c r="I118" s="98">
        <v>28227</v>
      </c>
      <c r="J118" s="98"/>
    </row>
    <row r="119" spans="1:10" ht="14.25" hidden="1">
      <c r="A119" s="74" t="s">
        <v>554</v>
      </c>
      <c r="B119" s="10" t="s">
        <v>555</v>
      </c>
      <c r="C119" s="10" t="s">
        <v>377</v>
      </c>
      <c r="D119" s="98">
        <v>92502</v>
      </c>
      <c r="E119" s="382">
        <v>0</v>
      </c>
      <c r="F119" s="98">
        <v>20218</v>
      </c>
      <c r="G119" s="98">
        <v>29036</v>
      </c>
      <c r="H119" s="98">
        <v>29036</v>
      </c>
      <c r="I119" s="98">
        <v>29036</v>
      </c>
      <c r="J119" s="98"/>
    </row>
    <row r="120" spans="1:10" ht="14.25" hidden="1">
      <c r="A120" s="74" t="s">
        <v>556</v>
      </c>
      <c r="B120" s="10" t="s">
        <v>557</v>
      </c>
      <c r="C120" s="10" t="s">
        <v>377</v>
      </c>
      <c r="D120" s="98">
        <v>100152</v>
      </c>
      <c r="E120" s="382">
        <v>0</v>
      </c>
      <c r="F120" s="98">
        <v>21577</v>
      </c>
      <c r="G120" s="98">
        <v>31438</v>
      </c>
      <c r="H120" s="98">
        <v>31438</v>
      </c>
      <c r="I120" s="98">
        <v>31438</v>
      </c>
      <c r="J120" s="98"/>
    </row>
    <row r="121" spans="1:10" ht="14.25" hidden="1">
      <c r="A121" s="74" t="s">
        <v>558</v>
      </c>
      <c r="B121" s="10" t="s">
        <v>559</v>
      </c>
      <c r="C121" s="10" t="s">
        <v>377</v>
      </c>
      <c r="D121" s="98">
        <v>90564</v>
      </c>
      <c r="E121" s="382">
        <v>0</v>
      </c>
      <c r="F121" s="98">
        <v>19874</v>
      </c>
      <c r="G121" s="98">
        <v>28428</v>
      </c>
      <c r="H121" s="98">
        <v>28428</v>
      </c>
      <c r="I121" s="98">
        <v>28428</v>
      </c>
      <c r="J121" s="98"/>
    </row>
    <row r="122" spans="1:10" ht="14.25" hidden="1">
      <c r="A122" s="74" t="s">
        <v>560</v>
      </c>
      <c r="B122" s="10" t="s">
        <v>561</v>
      </c>
      <c r="C122" s="10" t="s">
        <v>377</v>
      </c>
      <c r="D122" s="98">
        <v>93743</v>
      </c>
      <c r="E122" s="382">
        <v>0</v>
      </c>
      <c r="F122" s="98">
        <v>20439</v>
      </c>
      <c r="G122" s="98">
        <v>29426</v>
      </c>
      <c r="H122" s="98">
        <v>29426</v>
      </c>
      <c r="I122" s="98">
        <v>29426</v>
      </c>
      <c r="J122" s="98"/>
    </row>
    <row r="123" spans="1:10" ht="14.25" hidden="1">
      <c r="A123" s="74" t="s">
        <v>562</v>
      </c>
      <c r="B123" s="10" t="s">
        <v>563</v>
      </c>
      <c r="C123" s="10" t="s">
        <v>377</v>
      </c>
      <c r="D123" s="98">
        <v>95000</v>
      </c>
      <c r="E123" s="382">
        <v>0</v>
      </c>
      <c r="F123" s="98">
        <v>20662</v>
      </c>
      <c r="G123" s="98">
        <v>29821</v>
      </c>
      <c r="H123" s="98">
        <v>29821</v>
      </c>
      <c r="I123" s="98">
        <v>29821</v>
      </c>
      <c r="J123" s="98"/>
    </row>
    <row r="124" spans="1:10" ht="14.25" hidden="1">
      <c r="A124" s="74" t="s">
        <v>564</v>
      </c>
      <c r="B124" s="10" t="s">
        <v>565</v>
      </c>
      <c r="C124" s="10" t="s">
        <v>377</v>
      </c>
      <c r="D124" s="98">
        <v>109180</v>
      </c>
      <c r="E124" s="382">
        <v>0</v>
      </c>
      <c r="F124" s="98">
        <v>23180</v>
      </c>
      <c r="G124" s="98">
        <v>34272</v>
      </c>
      <c r="H124" s="98">
        <v>34272</v>
      </c>
      <c r="I124" s="98">
        <v>34272</v>
      </c>
      <c r="J124" s="98"/>
    </row>
    <row r="125" spans="1:10" ht="14.25" hidden="1">
      <c r="A125" s="74" t="s">
        <v>566</v>
      </c>
      <c r="B125" s="10" t="s">
        <v>567</v>
      </c>
      <c r="C125" s="10" t="s">
        <v>377</v>
      </c>
      <c r="D125" s="98">
        <v>91924</v>
      </c>
      <c r="E125" s="382">
        <v>0</v>
      </c>
      <c r="F125" s="98">
        <v>20116</v>
      </c>
      <c r="G125" s="98">
        <v>28855</v>
      </c>
      <c r="H125" s="98">
        <v>28855</v>
      </c>
      <c r="I125" s="98">
        <v>28855</v>
      </c>
      <c r="J125" s="98"/>
    </row>
    <row r="126" spans="1:10" ht="14.25" hidden="1">
      <c r="A126" s="74" t="s">
        <v>568</v>
      </c>
      <c r="B126" s="10" t="s">
        <v>569</v>
      </c>
      <c r="C126" s="10" t="s">
        <v>377</v>
      </c>
      <c r="D126" s="98">
        <v>91464</v>
      </c>
      <c r="E126" s="382">
        <v>0</v>
      </c>
      <c r="F126" s="98">
        <v>20034</v>
      </c>
      <c r="G126" s="98">
        <v>28711</v>
      </c>
      <c r="H126" s="98">
        <v>28711</v>
      </c>
      <c r="I126" s="98">
        <v>28711</v>
      </c>
      <c r="J126" s="98"/>
    </row>
    <row r="127" spans="1:10" ht="14.25" hidden="1">
      <c r="A127" s="74" t="s">
        <v>570</v>
      </c>
      <c r="B127" s="10" t="s">
        <v>571</v>
      </c>
      <c r="C127" s="10" t="s">
        <v>377</v>
      </c>
      <c r="D127" s="98">
        <v>87934</v>
      </c>
      <c r="E127" s="382">
        <v>0</v>
      </c>
      <c r="F127" s="98">
        <v>19407</v>
      </c>
      <c r="G127" s="98">
        <v>27602</v>
      </c>
      <c r="H127" s="98">
        <v>27602</v>
      </c>
      <c r="I127" s="98">
        <v>27602</v>
      </c>
      <c r="J127" s="98"/>
    </row>
    <row r="128" spans="1:10" ht="14.25" hidden="1">
      <c r="A128" s="74" t="s">
        <v>572</v>
      </c>
      <c r="B128" s="10" t="s">
        <v>573</v>
      </c>
      <c r="C128" s="10" t="s">
        <v>377</v>
      </c>
      <c r="D128" s="98">
        <v>81704</v>
      </c>
      <c r="E128" s="382">
        <v>0</v>
      </c>
      <c r="F128" s="98">
        <v>18301</v>
      </c>
      <c r="G128" s="98">
        <v>25647</v>
      </c>
      <c r="H128" s="98">
        <v>25647</v>
      </c>
      <c r="I128" s="98">
        <v>25647</v>
      </c>
      <c r="J128" s="98"/>
    </row>
    <row r="129" spans="1:10" ht="14.25" hidden="1">
      <c r="A129" s="74" t="s">
        <v>574</v>
      </c>
      <c r="B129" s="10" t="s">
        <v>575</v>
      </c>
      <c r="C129" s="10" t="s">
        <v>377</v>
      </c>
      <c r="D129" s="98">
        <v>75000</v>
      </c>
      <c r="E129" s="382">
        <v>0</v>
      </c>
      <c r="F129" s="98">
        <v>17110</v>
      </c>
      <c r="G129" s="98">
        <v>23543</v>
      </c>
      <c r="H129" s="98">
        <v>23543</v>
      </c>
      <c r="I129" s="98">
        <v>23543</v>
      </c>
      <c r="J129" s="98"/>
    </row>
    <row r="130" spans="1:10" ht="14.25" hidden="1">
      <c r="A130" s="74" t="s">
        <v>576</v>
      </c>
      <c r="B130" s="10" t="s">
        <v>577</v>
      </c>
      <c r="C130" s="10" t="s">
        <v>377</v>
      </c>
      <c r="D130" s="98">
        <v>89258</v>
      </c>
      <c r="E130" s="382">
        <v>0</v>
      </c>
      <c r="F130" s="98">
        <v>19642</v>
      </c>
      <c r="G130" s="98">
        <v>28018</v>
      </c>
      <c r="H130" s="98">
        <v>28018</v>
      </c>
      <c r="I130" s="98">
        <v>28018</v>
      </c>
      <c r="J130" s="98"/>
    </row>
    <row r="131" spans="1:10" ht="14.25" hidden="1">
      <c r="A131" s="74" t="s">
        <v>578</v>
      </c>
      <c r="B131" s="10" t="s">
        <v>579</v>
      </c>
      <c r="C131" s="10" t="s">
        <v>377</v>
      </c>
      <c r="D131" s="98">
        <v>80000</v>
      </c>
      <c r="E131" s="382">
        <v>0</v>
      </c>
      <c r="F131" s="98">
        <v>17998</v>
      </c>
      <c r="G131" s="98">
        <v>25112</v>
      </c>
      <c r="H131" s="98">
        <v>25112</v>
      </c>
      <c r="I131" s="98">
        <v>25112</v>
      </c>
      <c r="J131" s="98"/>
    </row>
    <row r="132" spans="1:10" ht="14.25" hidden="1">
      <c r="A132" s="74" t="s">
        <v>580</v>
      </c>
      <c r="B132" s="10" t="s">
        <v>581</v>
      </c>
      <c r="C132" s="10" t="s">
        <v>377</v>
      </c>
      <c r="D132" s="98">
        <v>108000</v>
      </c>
      <c r="E132" s="382">
        <v>0</v>
      </c>
      <c r="F132" s="98">
        <v>22971</v>
      </c>
      <c r="G132" s="98">
        <v>33901</v>
      </c>
      <c r="H132" s="98">
        <v>33901</v>
      </c>
      <c r="I132" s="98">
        <v>33901</v>
      </c>
      <c r="J132" s="98"/>
    </row>
    <row r="133" spans="1:10" ht="14.25" hidden="1">
      <c r="A133" s="74" t="s">
        <v>582</v>
      </c>
      <c r="B133" s="10" t="s">
        <v>583</v>
      </c>
      <c r="C133" s="10" t="s">
        <v>377</v>
      </c>
      <c r="D133" s="98">
        <v>96752</v>
      </c>
      <c r="E133" s="382">
        <v>0</v>
      </c>
      <c r="F133" s="98">
        <v>20973</v>
      </c>
      <c r="G133" s="98">
        <v>30370</v>
      </c>
      <c r="H133" s="98">
        <v>30370</v>
      </c>
      <c r="I133" s="98">
        <v>30370</v>
      </c>
      <c r="J133" s="98"/>
    </row>
    <row r="134" spans="1:10" ht="14.25" hidden="1">
      <c r="A134" s="74" t="s">
        <v>584</v>
      </c>
      <c r="B134" s="10" t="s">
        <v>585</v>
      </c>
      <c r="C134" s="10" t="s">
        <v>377</v>
      </c>
      <c r="D134" s="98">
        <v>101000</v>
      </c>
      <c r="E134" s="382">
        <v>0</v>
      </c>
      <c r="F134" s="98">
        <v>21728</v>
      </c>
      <c r="G134" s="98">
        <v>31704</v>
      </c>
      <c r="H134" s="98">
        <v>31704</v>
      </c>
      <c r="I134" s="98">
        <v>31704</v>
      </c>
      <c r="J134" s="98"/>
    </row>
    <row r="135" spans="1:10" ht="14.25" hidden="1">
      <c r="A135" s="74" t="s">
        <v>586</v>
      </c>
      <c r="B135" s="10" t="s">
        <v>587</v>
      </c>
      <c r="C135" s="10" t="s">
        <v>377</v>
      </c>
      <c r="D135" s="98">
        <v>115000</v>
      </c>
      <c r="E135" s="382">
        <v>0</v>
      </c>
      <c r="F135" s="98">
        <v>24214</v>
      </c>
      <c r="G135" s="98">
        <v>36099</v>
      </c>
      <c r="H135" s="98">
        <v>36099</v>
      </c>
      <c r="I135" s="98">
        <v>36099</v>
      </c>
      <c r="J135" s="98"/>
    </row>
    <row r="136" spans="1:10" ht="14.25" hidden="1">
      <c r="A136" s="74" t="s">
        <v>588</v>
      </c>
      <c r="B136" s="10" t="s">
        <v>589</v>
      </c>
      <c r="C136" s="10" t="s">
        <v>377</v>
      </c>
      <c r="D136" s="98">
        <v>88752</v>
      </c>
      <c r="E136" s="382">
        <v>0</v>
      </c>
      <c r="F136" s="98">
        <v>19552</v>
      </c>
      <c r="G136" s="98">
        <v>27859</v>
      </c>
      <c r="H136" s="98">
        <v>27859</v>
      </c>
      <c r="I136" s="98">
        <v>27859</v>
      </c>
      <c r="J136" s="98"/>
    </row>
    <row r="137" spans="1:10" ht="14.25" hidden="1">
      <c r="A137" s="74" t="s">
        <v>590</v>
      </c>
      <c r="B137" s="10" t="s">
        <v>591</v>
      </c>
      <c r="C137" s="10" t="s">
        <v>377</v>
      </c>
      <c r="D137" s="98">
        <v>89404</v>
      </c>
      <c r="E137" s="382">
        <v>0</v>
      </c>
      <c r="F137" s="98">
        <v>19668</v>
      </c>
      <c r="G137" s="98">
        <v>28064</v>
      </c>
      <c r="H137" s="98">
        <v>28064</v>
      </c>
      <c r="I137" s="98">
        <v>28064</v>
      </c>
      <c r="J137" s="98"/>
    </row>
    <row r="138" spans="1:10" ht="14.25" hidden="1">
      <c r="A138" s="74" t="s">
        <v>592</v>
      </c>
      <c r="B138" s="10" t="s">
        <v>593</v>
      </c>
      <c r="C138" s="10" t="s">
        <v>446</v>
      </c>
      <c r="D138" s="98">
        <v>91943</v>
      </c>
      <c r="E138" s="382">
        <v>0</v>
      </c>
      <c r="F138" s="98">
        <v>20165</v>
      </c>
      <c r="G138" s="98">
        <v>28861</v>
      </c>
      <c r="H138" s="98">
        <v>28861</v>
      </c>
      <c r="I138" s="98">
        <v>28861</v>
      </c>
      <c r="J138" s="98"/>
    </row>
    <row r="139" spans="1:10" ht="14.25" hidden="1">
      <c r="A139" s="74" t="s">
        <v>594</v>
      </c>
      <c r="B139" s="10" t="s">
        <v>595</v>
      </c>
      <c r="C139" s="10" t="s">
        <v>377</v>
      </c>
      <c r="D139" s="98">
        <v>82220</v>
      </c>
      <c r="E139" s="382">
        <v>0</v>
      </c>
      <c r="F139" s="98">
        <v>18392</v>
      </c>
      <c r="G139" s="98">
        <v>25809</v>
      </c>
      <c r="H139" s="98">
        <v>25809</v>
      </c>
      <c r="I139" s="98">
        <v>25809</v>
      </c>
      <c r="J139" s="98"/>
    </row>
    <row r="140" spans="1:10" ht="14.25" hidden="1">
      <c r="A140" s="74" t="s">
        <v>596</v>
      </c>
      <c r="B140" s="10" t="s">
        <v>597</v>
      </c>
      <c r="C140" s="10" t="s">
        <v>377</v>
      </c>
      <c r="D140" s="98">
        <v>89748</v>
      </c>
      <c r="E140" s="382">
        <v>0</v>
      </c>
      <c r="F140" s="98">
        <v>19729</v>
      </c>
      <c r="G140" s="98">
        <v>28172</v>
      </c>
      <c r="H140" s="98">
        <v>28172</v>
      </c>
      <c r="I140" s="98">
        <v>28172</v>
      </c>
      <c r="J140" s="98"/>
    </row>
    <row r="141" spans="1:10" ht="14.25" hidden="1">
      <c r="A141" s="74" t="s">
        <v>598</v>
      </c>
      <c r="B141" s="10" t="s">
        <v>599</v>
      </c>
      <c r="C141" s="10" t="s">
        <v>377</v>
      </c>
      <c r="D141" s="98">
        <v>90292</v>
      </c>
      <c r="E141" s="382">
        <v>0</v>
      </c>
      <c r="F141" s="98">
        <v>19826</v>
      </c>
      <c r="G141" s="98">
        <v>28343</v>
      </c>
      <c r="H141" s="98">
        <v>28343</v>
      </c>
      <c r="I141" s="98">
        <v>28343</v>
      </c>
      <c r="J141" s="98"/>
    </row>
    <row r="142" spans="1:10" ht="14.25" hidden="1">
      <c r="A142" s="74" t="s">
        <v>600</v>
      </c>
      <c r="B142" s="10" t="s">
        <v>601</v>
      </c>
      <c r="C142" s="10" t="s">
        <v>377</v>
      </c>
      <c r="D142" s="98">
        <v>81964</v>
      </c>
      <c r="E142" s="382">
        <v>0</v>
      </c>
      <c r="F142" s="98">
        <v>18347</v>
      </c>
      <c r="G142" s="98">
        <v>25728</v>
      </c>
      <c r="H142" s="98">
        <v>25728</v>
      </c>
      <c r="I142" s="98">
        <v>25728</v>
      </c>
      <c r="J142" s="98"/>
    </row>
    <row r="143" spans="1:10" ht="14.25" hidden="1">
      <c r="A143" s="74" t="s">
        <v>602</v>
      </c>
      <c r="B143" s="10" t="s">
        <v>603</v>
      </c>
      <c r="C143" s="10" t="s">
        <v>377</v>
      </c>
      <c r="D143" s="98">
        <v>94082</v>
      </c>
      <c r="E143" s="382">
        <v>0</v>
      </c>
      <c r="F143" s="98">
        <v>20499</v>
      </c>
      <c r="G143" s="98">
        <v>29532</v>
      </c>
      <c r="H143" s="98">
        <v>29532</v>
      </c>
      <c r="I143" s="98">
        <v>29532</v>
      </c>
      <c r="J143" s="98"/>
    </row>
    <row r="144" spans="1:10" ht="14.25" hidden="1">
      <c r="A144" s="74" t="s">
        <v>604</v>
      </c>
      <c r="B144" s="10" t="s">
        <v>605</v>
      </c>
      <c r="C144" s="10" t="s">
        <v>377</v>
      </c>
      <c r="D144" s="98">
        <v>77250</v>
      </c>
      <c r="E144" s="382">
        <v>0</v>
      </c>
      <c r="F144" s="98">
        <v>17510</v>
      </c>
      <c r="G144" s="98">
        <v>24249</v>
      </c>
      <c r="H144" s="98">
        <v>24249</v>
      </c>
      <c r="I144" s="98">
        <v>24249</v>
      </c>
      <c r="J144" s="98"/>
    </row>
    <row r="145" spans="1:10" ht="14.25" hidden="1">
      <c r="A145" s="74" t="s">
        <v>606</v>
      </c>
      <c r="B145" s="10" t="s">
        <v>607</v>
      </c>
      <c r="C145" s="10" t="s">
        <v>377</v>
      </c>
      <c r="D145" s="98">
        <v>89194</v>
      </c>
      <c r="E145" s="382">
        <v>0</v>
      </c>
      <c r="F145" s="98">
        <v>19631</v>
      </c>
      <c r="G145" s="98">
        <v>27998</v>
      </c>
      <c r="H145" s="98">
        <v>27998</v>
      </c>
      <c r="I145" s="98">
        <v>27998</v>
      </c>
      <c r="J145" s="98"/>
    </row>
    <row r="146" spans="1:10" ht="14.25" hidden="1">
      <c r="A146" s="74" t="s">
        <v>608</v>
      </c>
      <c r="B146" s="10" t="s">
        <v>609</v>
      </c>
      <c r="C146" s="10" t="s">
        <v>377</v>
      </c>
      <c r="D146" s="98">
        <v>79704</v>
      </c>
      <c r="E146" s="382">
        <v>0</v>
      </c>
      <c r="F146" s="98">
        <v>17945</v>
      </c>
      <c r="G146" s="98">
        <v>25019</v>
      </c>
      <c r="H146" s="98">
        <v>25019</v>
      </c>
      <c r="I146" s="98">
        <v>25019</v>
      </c>
      <c r="J146" s="98"/>
    </row>
    <row r="147" spans="1:10" ht="14.25" hidden="1">
      <c r="A147" s="74" t="s">
        <v>610</v>
      </c>
      <c r="B147" s="10" t="s">
        <v>611</v>
      </c>
      <c r="C147" s="10" t="s">
        <v>377</v>
      </c>
      <c r="D147" s="98">
        <v>79878</v>
      </c>
      <c r="E147" s="382">
        <v>0</v>
      </c>
      <c r="F147" s="98">
        <v>17976</v>
      </c>
      <c r="G147" s="98">
        <v>25074</v>
      </c>
      <c r="H147" s="98">
        <v>25074</v>
      </c>
      <c r="I147" s="98">
        <v>25074</v>
      </c>
      <c r="J147" s="98"/>
    </row>
    <row r="148" spans="1:10" ht="14.25" hidden="1">
      <c r="A148" s="74" t="s">
        <v>612</v>
      </c>
      <c r="B148" s="10" t="s">
        <v>613</v>
      </c>
      <c r="C148" s="10" t="s">
        <v>377</v>
      </c>
      <c r="D148" s="98">
        <v>84248</v>
      </c>
      <c r="E148" s="382">
        <v>0</v>
      </c>
      <c r="F148" s="98">
        <v>18752</v>
      </c>
      <c r="G148" s="98">
        <v>26445</v>
      </c>
      <c r="H148" s="98">
        <v>26445</v>
      </c>
      <c r="I148" s="98">
        <v>26445</v>
      </c>
      <c r="J148" s="98"/>
    </row>
    <row r="149" spans="1:10" ht="14.25" hidden="1">
      <c r="A149" s="74" t="s">
        <v>614</v>
      </c>
      <c r="B149" s="10" t="s">
        <v>615</v>
      </c>
      <c r="C149" s="10" t="s">
        <v>377</v>
      </c>
      <c r="D149" s="98">
        <v>72750</v>
      </c>
      <c r="E149" s="382">
        <v>0</v>
      </c>
      <c r="F149" s="98">
        <v>16710</v>
      </c>
      <c r="G149" s="98">
        <v>22836</v>
      </c>
      <c r="H149" s="98">
        <v>22836</v>
      </c>
      <c r="I149" s="98">
        <v>22836</v>
      </c>
      <c r="J149" s="98"/>
    </row>
    <row r="150" spans="1:10" ht="14.25" hidden="1">
      <c r="A150" s="74" t="s">
        <v>616</v>
      </c>
      <c r="B150" s="10" t="s">
        <v>617</v>
      </c>
      <c r="C150" s="10" t="s">
        <v>377</v>
      </c>
      <c r="D150" s="98">
        <v>93000</v>
      </c>
      <c r="E150" s="382">
        <v>0</v>
      </c>
      <c r="F150" s="98">
        <v>20307</v>
      </c>
      <c r="G150" s="98">
        <v>29193</v>
      </c>
      <c r="H150" s="98">
        <v>29193</v>
      </c>
      <c r="I150" s="98">
        <v>29193</v>
      </c>
      <c r="J150" s="98"/>
    </row>
    <row r="151" spans="1:10" ht="14.25" hidden="1">
      <c r="A151" s="74" t="s">
        <v>618</v>
      </c>
      <c r="B151" s="10" t="s">
        <v>619</v>
      </c>
      <c r="C151" s="10" t="s">
        <v>377</v>
      </c>
      <c r="D151" s="98">
        <v>74000</v>
      </c>
      <c r="E151" s="382">
        <v>0</v>
      </c>
      <c r="F151" s="98">
        <v>16932</v>
      </c>
      <c r="G151" s="98">
        <v>23229</v>
      </c>
      <c r="H151" s="98">
        <v>23229</v>
      </c>
      <c r="I151" s="98">
        <v>23229</v>
      </c>
      <c r="J151" s="98"/>
    </row>
    <row r="152" spans="1:10" ht="14.25" hidden="1">
      <c r="A152" s="74" t="s">
        <v>620</v>
      </c>
      <c r="B152" s="10" t="s">
        <v>621</v>
      </c>
      <c r="C152" s="10" t="s">
        <v>377</v>
      </c>
      <c r="D152" s="98">
        <v>81854</v>
      </c>
      <c r="E152" s="382">
        <v>0</v>
      </c>
      <c r="F152" s="98">
        <v>18327</v>
      </c>
      <c r="G152" s="98">
        <v>25694</v>
      </c>
      <c r="H152" s="98">
        <v>25694</v>
      </c>
      <c r="I152" s="98">
        <v>25694</v>
      </c>
      <c r="J152" s="98"/>
    </row>
    <row r="153" spans="1:10" ht="14.25" hidden="1">
      <c r="A153" s="74" t="s">
        <v>622</v>
      </c>
      <c r="B153" s="10" t="s">
        <v>623</v>
      </c>
      <c r="C153" s="10" t="s">
        <v>377</v>
      </c>
      <c r="D153" s="98">
        <v>63190</v>
      </c>
      <c r="E153" s="382">
        <v>0</v>
      </c>
      <c r="F153" s="98">
        <v>15013</v>
      </c>
      <c r="G153" s="98">
        <v>19835</v>
      </c>
      <c r="H153" s="98">
        <v>19835</v>
      </c>
      <c r="I153" s="98">
        <v>19835</v>
      </c>
      <c r="J153" s="98"/>
    </row>
    <row r="154" spans="1:10" ht="14.25" hidden="1">
      <c r="A154" s="74" t="s">
        <v>624</v>
      </c>
      <c r="B154" s="10" t="s">
        <v>625</v>
      </c>
      <c r="C154" s="10" t="s">
        <v>377</v>
      </c>
      <c r="D154" s="98">
        <v>92700</v>
      </c>
      <c r="E154" s="382">
        <v>0</v>
      </c>
      <c r="F154" s="98">
        <v>20254</v>
      </c>
      <c r="G154" s="98">
        <v>29099</v>
      </c>
      <c r="H154" s="98">
        <v>29099</v>
      </c>
      <c r="I154" s="98">
        <v>29099</v>
      </c>
      <c r="J154" s="98"/>
    </row>
    <row r="155" spans="1:10" ht="14.25" hidden="1">
      <c r="A155" s="74" t="s">
        <v>626</v>
      </c>
      <c r="B155" s="10" t="s">
        <v>627</v>
      </c>
      <c r="C155" s="10" t="s">
        <v>377</v>
      </c>
      <c r="D155" s="98">
        <v>90502</v>
      </c>
      <c r="E155" s="382">
        <v>0</v>
      </c>
      <c r="F155" s="98">
        <v>19863</v>
      </c>
      <c r="G155" s="98">
        <v>28409</v>
      </c>
      <c r="H155" s="98">
        <v>28409</v>
      </c>
      <c r="I155" s="98">
        <v>28409</v>
      </c>
      <c r="J155" s="98"/>
    </row>
    <row r="156" spans="1:10" ht="14.25" hidden="1">
      <c r="A156" s="74" t="s">
        <v>628</v>
      </c>
      <c r="B156" s="10" t="s">
        <v>629</v>
      </c>
      <c r="C156" s="10" t="s">
        <v>377</v>
      </c>
      <c r="D156" s="98">
        <v>96424</v>
      </c>
      <c r="E156" s="382">
        <v>0</v>
      </c>
      <c r="F156" s="98">
        <v>20915</v>
      </c>
      <c r="G156" s="98">
        <v>30267</v>
      </c>
      <c r="H156" s="98">
        <v>30267</v>
      </c>
      <c r="I156" s="98">
        <v>30267</v>
      </c>
      <c r="J156" s="98"/>
    </row>
    <row r="157" spans="1:10" ht="14.25" hidden="1">
      <c r="A157" s="74" t="s">
        <v>630</v>
      </c>
      <c r="B157" s="10" t="s">
        <v>631</v>
      </c>
      <c r="C157" s="10" t="s">
        <v>377</v>
      </c>
      <c r="D157" s="98">
        <v>64944</v>
      </c>
      <c r="E157" s="382">
        <v>0</v>
      </c>
      <c r="F157" s="98">
        <v>15324</v>
      </c>
      <c r="G157" s="98">
        <v>20386</v>
      </c>
      <c r="H157" s="98">
        <v>20386</v>
      </c>
      <c r="I157" s="98">
        <v>20386</v>
      </c>
      <c r="J157" s="98"/>
    </row>
    <row r="158" spans="1:10" ht="14.25" hidden="1">
      <c r="A158" s="74" t="s">
        <v>632</v>
      </c>
      <c r="B158" s="10" t="s">
        <v>633</v>
      </c>
      <c r="C158" s="10" t="s">
        <v>377</v>
      </c>
      <c r="D158" s="98">
        <v>84248</v>
      </c>
      <c r="E158" s="382">
        <v>0</v>
      </c>
      <c r="F158" s="98">
        <v>18752</v>
      </c>
      <c r="G158" s="98">
        <v>26445</v>
      </c>
      <c r="H158" s="98">
        <v>26445</v>
      </c>
      <c r="I158" s="98">
        <v>26445</v>
      </c>
      <c r="J158" s="98"/>
    </row>
    <row r="159" spans="1:10" ht="14.25" hidden="1">
      <c r="A159" s="74" t="s">
        <v>634</v>
      </c>
      <c r="B159" s="10" t="s">
        <v>635</v>
      </c>
      <c r="C159" s="10" t="s">
        <v>377</v>
      </c>
      <c r="D159" s="98">
        <v>74404</v>
      </c>
      <c r="E159" s="382">
        <v>0</v>
      </c>
      <c r="F159" s="98">
        <v>17004</v>
      </c>
      <c r="G159" s="98">
        <v>23355</v>
      </c>
      <c r="H159" s="98">
        <v>23355</v>
      </c>
      <c r="I159" s="98">
        <v>23355</v>
      </c>
      <c r="J159" s="98"/>
    </row>
    <row r="160" spans="1:10" ht="14.25" hidden="1">
      <c r="A160" s="74" t="s">
        <v>636</v>
      </c>
      <c r="B160" s="74" t="s">
        <v>637</v>
      </c>
      <c r="C160" s="10" t="s">
        <v>377</v>
      </c>
      <c r="D160" s="98">
        <v>81234</v>
      </c>
      <c r="E160" s="382">
        <v>0</v>
      </c>
      <c r="F160" s="98">
        <v>18217</v>
      </c>
      <c r="G160" s="98">
        <v>25499</v>
      </c>
      <c r="H160" s="98">
        <v>25499</v>
      </c>
      <c r="I160" s="98">
        <v>25499</v>
      </c>
      <c r="J160" s="98"/>
    </row>
    <row r="161" spans="1:10" ht="14.25" hidden="1">
      <c r="A161" s="74" t="s">
        <v>638</v>
      </c>
      <c r="B161" s="10" t="s">
        <v>639</v>
      </c>
      <c r="C161" s="10" t="s">
        <v>377</v>
      </c>
      <c r="D161" s="98">
        <v>88754</v>
      </c>
      <c r="E161" s="382">
        <v>0</v>
      </c>
      <c r="F161" s="98">
        <v>19553</v>
      </c>
      <c r="G161" s="98">
        <v>27860</v>
      </c>
      <c r="H161" s="98">
        <v>27860</v>
      </c>
      <c r="I161" s="98">
        <v>27860</v>
      </c>
      <c r="J161" s="98"/>
    </row>
    <row r="162" spans="1:10" ht="14.25" hidden="1">
      <c r="A162" s="74" t="s">
        <v>640</v>
      </c>
      <c r="B162" s="10" t="s">
        <v>641</v>
      </c>
      <c r="C162" s="10" t="s">
        <v>377</v>
      </c>
      <c r="D162" s="98">
        <v>88000</v>
      </c>
      <c r="E162" s="382">
        <v>0</v>
      </c>
      <c r="F162" s="98">
        <v>19419</v>
      </c>
      <c r="G162" s="98">
        <v>27623</v>
      </c>
      <c r="H162" s="98">
        <v>27623</v>
      </c>
      <c r="I162" s="98">
        <v>27623</v>
      </c>
      <c r="J162" s="98"/>
    </row>
    <row r="163" spans="1:10" ht="14.25" hidden="1">
      <c r="A163" s="74" t="s">
        <v>642</v>
      </c>
      <c r="B163" s="10" t="s">
        <v>643</v>
      </c>
      <c r="C163" s="10" t="s">
        <v>446</v>
      </c>
      <c r="D163" s="98">
        <v>48128</v>
      </c>
      <c r="E163" s="382">
        <v>0</v>
      </c>
      <c r="F163" s="98">
        <v>12384</v>
      </c>
      <c r="G163" s="98">
        <v>15107</v>
      </c>
      <c r="H163" s="98">
        <v>15107</v>
      </c>
      <c r="I163" s="98">
        <v>15107</v>
      </c>
      <c r="J163" s="98"/>
    </row>
    <row r="164" spans="1:10" ht="14.25" hidden="1">
      <c r="A164" s="74" t="s">
        <v>644</v>
      </c>
      <c r="B164" s="10" t="s">
        <v>645</v>
      </c>
      <c r="C164" s="10" t="s">
        <v>377</v>
      </c>
      <c r="D164" s="98">
        <v>72000</v>
      </c>
      <c r="E164" s="382">
        <v>0</v>
      </c>
      <c r="F164" s="98">
        <v>16577</v>
      </c>
      <c r="G164" s="98">
        <v>22601</v>
      </c>
      <c r="H164" s="98">
        <v>22601</v>
      </c>
      <c r="I164" s="98">
        <v>22601</v>
      </c>
      <c r="J164" s="98"/>
    </row>
    <row r="165" spans="1:10" ht="14.25" hidden="1">
      <c r="A165" s="74" t="s">
        <v>646</v>
      </c>
      <c r="B165" s="10" t="s">
        <v>647</v>
      </c>
      <c r="C165" s="10" t="s">
        <v>446</v>
      </c>
      <c r="D165" s="98">
        <v>63448</v>
      </c>
      <c r="E165" s="382">
        <v>0</v>
      </c>
      <c r="F165" s="98">
        <v>15104</v>
      </c>
      <c r="G165" s="98">
        <v>19916</v>
      </c>
      <c r="H165" s="98">
        <v>19916</v>
      </c>
      <c r="I165" s="98">
        <v>19916</v>
      </c>
      <c r="J165" s="98"/>
    </row>
    <row r="166" spans="1:10" ht="14.25" hidden="1">
      <c r="A166" s="74" t="s">
        <v>648</v>
      </c>
      <c r="B166" s="10" t="s">
        <v>649</v>
      </c>
      <c r="C166" s="10" t="s">
        <v>377</v>
      </c>
      <c r="D166" s="98">
        <v>81140</v>
      </c>
      <c r="E166" s="382">
        <v>0</v>
      </c>
      <c r="F166" s="98">
        <v>18200</v>
      </c>
      <c r="G166" s="98">
        <v>25470</v>
      </c>
      <c r="H166" s="98">
        <v>25470</v>
      </c>
      <c r="I166" s="98">
        <v>25470</v>
      </c>
      <c r="J166" s="98"/>
    </row>
    <row r="167" spans="1:10" ht="14.25" hidden="1">
      <c r="A167" s="74" t="s">
        <v>650</v>
      </c>
      <c r="B167" s="10" t="s">
        <v>651</v>
      </c>
      <c r="C167" s="10" t="s">
        <v>377</v>
      </c>
      <c r="D167" s="98">
        <v>59122</v>
      </c>
      <c r="E167" s="382">
        <v>0</v>
      </c>
      <c r="F167" s="98">
        <v>14290</v>
      </c>
      <c r="G167" s="98">
        <v>18558</v>
      </c>
      <c r="H167" s="98">
        <v>18558</v>
      </c>
      <c r="I167" s="98">
        <v>18558</v>
      </c>
      <c r="J167" s="98"/>
    </row>
    <row r="168" spans="1:10" ht="14.25" hidden="1">
      <c r="A168" s="74" t="s">
        <v>652</v>
      </c>
      <c r="B168" s="10" t="s">
        <v>653</v>
      </c>
      <c r="C168" s="10" t="s">
        <v>377</v>
      </c>
      <c r="D168" s="98">
        <v>93582</v>
      </c>
      <c r="E168" s="382">
        <v>0</v>
      </c>
      <c r="F168" s="98">
        <v>20410</v>
      </c>
      <c r="G168" s="98">
        <v>29375</v>
      </c>
      <c r="H168" s="98">
        <v>29375</v>
      </c>
      <c r="I168" s="98">
        <v>29375</v>
      </c>
      <c r="J168" s="98"/>
    </row>
    <row r="169" spans="1:10" ht="14.25" hidden="1">
      <c r="A169" s="74" t="s">
        <v>654</v>
      </c>
      <c r="B169" s="10" t="s">
        <v>655</v>
      </c>
      <c r="C169" s="10" t="s">
        <v>377</v>
      </c>
      <c r="D169" s="98">
        <v>81708</v>
      </c>
      <c r="E169" s="382">
        <v>0</v>
      </c>
      <c r="F169" s="98">
        <v>18301</v>
      </c>
      <c r="G169" s="98">
        <v>25648</v>
      </c>
      <c r="H169" s="98">
        <v>25648</v>
      </c>
      <c r="I169" s="98">
        <v>25648</v>
      </c>
      <c r="J169" s="98"/>
    </row>
    <row r="170" spans="1:10" ht="14.25" hidden="1">
      <c r="A170" s="74" t="s">
        <v>656</v>
      </c>
      <c r="B170" s="10" t="s">
        <v>657</v>
      </c>
      <c r="C170" s="10" t="s">
        <v>377</v>
      </c>
      <c r="D170" s="98">
        <v>87170</v>
      </c>
      <c r="E170" s="382">
        <v>0</v>
      </c>
      <c r="F170" s="98">
        <v>19271</v>
      </c>
      <c r="G170" s="98">
        <v>27363</v>
      </c>
      <c r="H170" s="98">
        <v>27363</v>
      </c>
      <c r="I170" s="98">
        <v>27363</v>
      </c>
      <c r="J170" s="98"/>
    </row>
    <row r="171" spans="1:10" ht="14.25" hidden="1">
      <c r="A171" s="74" t="s">
        <v>658</v>
      </c>
      <c r="B171" s="10" t="s">
        <v>659</v>
      </c>
      <c r="C171" s="10" t="s">
        <v>377</v>
      </c>
      <c r="D171" s="98">
        <v>54722</v>
      </c>
      <c r="E171" s="382">
        <v>0</v>
      </c>
      <c r="F171" s="98">
        <v>13509</v>
      </c>
      <c r="G171" s="98">
        <v>17177</v>
      </c>
      <c r="H171" s="98">
        <v>17177</v>
      </c>
      <c r="I171" s="98">
        <v>17177</v>
      </c>
      <c r="J171" s="98"/>
    </row>
    <row r="172" spans="1:10" ht="14.25" hidden="1">
      <c r="A172" s="74" t="s">
        <v>660</v>
      </c>
      <c r="B172" s="10" t="s">
        <v>661</v>
      </c>
      <c r="C172" s="10" t="s">
        <v>377</v>
      </c>
      <c r="D172" s="98">
        <v>62226</v>
      </c>
      <c r="E172" s="382">
        <v>0</v>
      </c>
      <c r="F172" s="98">
        <v>14841</v>
      </c>
      <c r="G172" s="98">
        <v>19533</v>
      </c>
      <c r="H172" s="98">
        <v>19533</v>
      </c>
      <c r="I172" s="98">
        <v>19533</v>
      </c>
      <c r="J172" s="98"/>
    </row>
    <row r="173" spans="1:10" ht="14.25" hidden="1">
      <c r="A173" s="74" t="s">
        <v>662</v>
      </c>
      <c r="B173" s="10" t="s">
        <v>663</v>
      </c>
      <c r="C173" s="10" t="s">
        <v>377</v>
      </c>
      <c r="D173" s="98">
        <v>53874</v>
      </c>
      <c r="E173" s="382">
        <v>0</v>
      </c>
      <c r="F173" s="98">
        <v>13358</v>
      </c>
      <c r="G173" s="98">
        <v>16911</v>
      </c>
      <c r="H173" s="98">
        <v>16911</v>
      </c>
      <c r="I173" s="98">
        <v>16911</v>
      </c>
      <c r="J173" s="98"/>
    </row>
    <row r="174" spans="1:10" ht="14.25" hidden="1">
      <c r="A174" s="74" t="s">
        <v>664</v>
      </c>
      <c r="B174" s="10" t="s">
        <v>665</v>
      </c>
      <c r="C174" s="10" t="s">
        <v>377</v>
      </c>
      <c r="D174" s="98">
        <v>63954</v>
      </c>
      <c r="E174" s="382">
        <v>0</v>
      </c>
      <c r="F174" s="98">
        <v>15148</v>
      </c>
      <c r="G174" s="98">
        <v>20075</v>
      </c>
      <c r="H174" s="98">
        <v>20075</v>
      </c>
      <c r="I174" s="98">
        <v>20075</v>
      </c>
      <c r="J174" s="98"/>
    </row>
    <row r="175" spans="1:10" ht="14.25" hidden="1">
      <c r="A175" s="74" t="s">
        <v>666</v>
      </c>
      <c r="B175" s="10" t="s">
        <v>667</v>
      </c>
      <c r="C175" s="10" t="s">
        <v>377</v>
      </c>
      <c r="D175" s="98">
        <v>57074</v>
      </c>
      <c r="E175" s="382">
        <v>0</v>
      </c>
      <c r="F175" s="98">
        <v>13926</v>
      </c>
      <c r="G175" s="98">
        <v>17916</v>
      </c>
      <c r="H175" s="98">
        <v>17916</v>
      </c>
      <c r="I175" s="98">
        <v>17916</v>
      </c>
      <c r="J175" s="98"/>
    </row>
    <row r="176" spans="1:10" ht="14.25" hidden="1">
      <c r="A176" s="74" t="s">
        <v>668</v>
      </c>
      <c r="B176" s="10" t="s">
        <v>669</v>
      </c>
      <c r="C176" s="10" t="s">
        <v>377</v>
      </c>
      <c r="D176" s="98">
        <v>48288</v>
      </c>
      <c r="E176" s="382">
        <v>0</v>
      </c>
      <c r="F176" s="98">
        <v>12366</v>
      </c>
      <c r="G176" s="98">
        <v>15158</v>
      </c>
      <c r="H176" s="98">
        <v>15158</v>
      </c>
      <c r="I176" s="98">
        <v>15158</v>
      </c>
      <c r="J176" s="98"/>
    </row>
    <row r="177" spans="1:10" ht="14.25" hidden="1">
      <c r="A177" s="74" t="s">
        <v>670</v>
      </c>
      <c r="B177" s="10" t="s">
        <v>671</v>
      </c>
      <c r="C177" s="10" t="s">
        <v>377</v>
      </c>
      <c r="D177" s="98">
        <v>79878</v>
      </c>
      <c r="E177" s="382">
        <v>0</v>
      </c>
      <c r="F177" s="98">
        <v>17976</v>
      </c>
      <c r="G177" s="98">
        <v>25074</v>
      </c>
      <c r="H177" s="98">
        <v>25074</v>
      </c>
      <c r="I177" s="98">
        <v>25074</v>
      </c>
      <c r="J177" s="98"/>
    </row>
    <row r="178" spans="1:10" ht="14.25" hidden="1">
      <c r="A178" s="376" t="s">
        <v>672</v>
      </c>
      <c r="B178" s="377" t="s">
        <v>673</v>
      </c>
      <c r="C178" s="377" t="s">
        <v>377</v>
      </c>
      <c r="D178" s="391">
        <v>62000</v>
      </c>
      <c r="E178" s="382">
        <v>0</v>
      </c>
      <c r="F178" s="98">
        <v>14801</v>
      </c>
      <c r="G178" s="98">
        <v>19462</v>
      </c>
      <c r="H178" s="98">
        <v>19462</v>
      </c>
      <c r="I178" s="98">
        <v>19462</v>
      </c>
      <c r="J178" s="98"/>
    </row>
    <row r="179" spans="1:10" ht="14.25" hidden="1">
      <c r="A179" s="380" t="s">
        <v>674</v>
      </c>
      <c r="B179" s="23" t="s">
        <v>675</v>
      </c>
      <c r="C179" s="23" t="s">
        <v>676</v>
      </c>
      <c r="D179" s="24">
        <v>35802</v>
      </c>
      <c r="E179" s="393">
        <v>0</v>
      </c>
      <c r="F179" s="98">
        <v>11355</v>
      </c>
      <c r="G179" s="98">
        <v>11238</v>
      </c>
      <c r="H179" s="98">
        <v>11238</v>
      </c>
      <c r="I179" s="98">
        <v>11238</v>
      </c>
      <c r="J179" s="98"/>
    </row>
    <row r="180" spans="1:10" ht="14.25" hidden="1">
      <c r="A180" s="380" t="s">
        <v>677</v>
      </c>
      <c r="B180" s="23" t="s">
        <v>678</v>
      </c>
      <c r="C180" s="23" t="s">
        <v>676</v>
      </c>
      <c r="D180" s="24">
        <v>39006</v>
      </c>
      <c r="E180" s="393">
        <v>0</v>
      </c>
      <c r="F180" s="98">
        <v>11924</v>
      </c>
      <c r="G180" s="98">
        <v>12244</v>
      </c>
      <c r="H180" s="98">
        <v>12244</v>
      </c>
      <c r="I180" s="98">
        <v>12244</v>
      </c>
      <c r="J180" s="98"/>
    </row>
    <row r="181" spans="1:10" ht="14.25" hidden="1">
      <c r="A181" s="380" t="s">
        <v>679</v>
      </c>
      <c r="B181" s="23" t="s">
        <v>680</v>
      </c>
      <c r="C181" s="23" t="s">
        <v>676</v>
      </c>
      <c r="D181" s="24">
        <v>42168</v>
      </c>
      <c r="E181" s="393">
        <v>0</v>
      </c>
      <c r="F181" s="98">
        <v>12486</v>
      </c>
      <c r="G181" s="98">
        <v>13237</v>
      </c>
      <c r="H181" s="98">
        <v>13237</v>
      </c>
      <c r="I181" s="98">
        <v>13237</v>
      </c>
      <c r="J181" s="98"/>
    </row>
    <row r="182" spans="1:10" ht="14.25" hidden="1">
      <c r="A182" s="389" t="s">
        <v>681</v>
      </c>
      <c r="B182" s="390" t="s">
        <v>682</v>
      </c>
      <c r="C182" s="390" t="s">
        <v>377</v>
      </c>
      <c r="D182" s="398">
        <v>81462</v>
      </c>
      <c r="E182" s="382">
        <v>0</v>
      </c>
      <c r="F182" s="98">
        <v>18258</v>
      </c>
      <c r="G182" s="98">
        <v>25571</v>
      </c>
      <c r="H182" s="98">
        <v>25571</v>
      </c>
      <c r="I182" s="98">
        <v>25571</v>
      </c>
      <c r="J182" s="98"/>
    </row>
    <row r="183" spans="1:10" ht="14.25" hidden="1">
      <c r="A183" s="74" t="s">
        <v>683</v>
      </c>
      <c r="B183" s="10" t="s">
        <v>684</v>
      </c>
      <c r="C183" s="10" t="s">
        <v>446</v>
      </c>
      <c r="D183" s="98">
        <v>42288</v>
      </c>
      <c r="E183" s="382">
        <v>0</v>
      </c>
      <c r="F183" s="98">
        <v>11346</v>
      </c>
      <c r="G183" s="98">
        <v>13274</v>
      </c>
      <c r="H183" s="98">
        <v>13274</v>
      </c>
      <c r="I183" s="98">
        <v>13274</v>
      </c>
      <c r="J183" s="98"/>
    </row>
    <row r="184" spans="1:10" ht="14.25" hidden="1">
      <c r="A184" s="74" t="s">
        <v>685</v>
      </c>
      <c r="B184" s="10" t="s">
        <v>686</v>
      </c>
      <c r="C184" s="10" t="s">
        <v>377</v>
      </c>
      <c r="D184" s="98">
        <v>68908</v>
      </c>
      <c r="E184" s="382">
        <v>0</v>
      </c>
      <c r="F184" s="98">
        <v>16028</v>
      </c>
      <c r="G184" s="98">
        <v>21630</v>
      </c>
      <c r="H184" s="98">
        <v>21630</v>
      </c>
      <c r="I184" s="98">
        <v>21630</v>
      </c>
      <c r="J184" s="98"/>
    </row>
    <row r="185" spans="1:10" ht="14.25" hidden="1">
      <c r="A185" s="74" t="s">
        <v>687</v>
      </c>
      <c r="B185" s="10" t="s">
        <v>688</v>
      </c>
      <c r="C185" s="10" t="s">
        <v>377</v>
      </c>
      <c r="D185" s="98">
        <v>78202</v>
      </c>
      <c r="E185" s="382">
        <v>0</v>
      </c>
      <c r="F185" s="98">
        <v>17679</v>
      </c>
      <c r="G185" s="98">
        <v>24548</v>
      </c>
      <c r="H185" s="98">
        <v>24548</v>
      </c>
      <c r="I185" s="98">
        <v>24548</v>
      </c>
      <c r="J185" s="98"/>
    </row>
    <row r="186" spans="1:10" ht="14.25" hidden="1">
      <c r="A186" s="74" t="s">
        <v>689</v>
      </c>
      <c r="B186" s="10" t="s">
        <v>690</v>
      </c>
      <c r="C186" s="10" t="s">
        <v>377</v>
      </c>
      <c r="D186" s="98">
        <v>58068</v>
      </c>
      <c r="E186" s="382">
        <v>0</v>
      </c>
      <c r="F186" s="98">
        <v>14103</v>
      </c>
      <c r="G186" s="98">
        <v>18228</v>
      </c>
      <c r="H186" s="98">
        <v>18228</v>
      </c>
      <c r="I186" s="98">
        <v>18228</v>
      </c>
      <c r="J186" s="98"/>
    </row>
    <row r="187" spans="1:10" ht="14.25" hidden="1">
      <c r="A187" s="74" t="s">
        <v>691</v>
      </c>
      <c r="B187" s="10" t="s">
        <v>692</v>
      </c>
      <c r="C187" s="10" t="s">
        <v>377</v>
      </c>
      <c r="D187" s="98">
        <v>79898</v>
      </c>
      <c r="E187" s="382">
        <v>0</v>
      </c>
      <c r="F187" s="98">
        <v>17980</v>
      </c>
      <c r="G187" s="98">
        <v>25080</v>
      </c>
      <c r="H187" s="98">
        <v>25080</v>
      </c>
      <c r="I187" s="98">
        <v>25080</v>
      </c>
      <c r="J187" s="98"/>
    </row>
    <row r="188" spans="1:10" ht="14.25" hidden="1">
      <c r="A188" s="74" t="s">
        <v>693</v>
      </c>
      <c r="B188" s="10" t="s">
        <v>694</v>
      </c>
      <c r="C188" s="10" t="s">
        <v>377</v>
      </c>
      <c r="D188" s="98">
        <v>92672</v>
      </c>
      <c r="E188" s="382">
        <v>0</v>
      </c>
      <c r="F188" s="98">
        <v>20249</v>
      </c>
      <c r="G188" s="98">
        <v>29090</v>
      </c>
      <c r="H188" s="98">
        <v>29090</v>
      </c>
      <c r="I188" s="98">
        <v>29090</v>
      </c>
      <c r="J188" s="98"/>
    </row>
    <row r="189" spans="1:10" ht="14.25" hidden="1">
      <c r="A189" s="74" t="s">
        <v>695</v>
      </c>
      <c r="B189" s="10" t="s">
        <v>696</v>
      </c>
      <c r="C189" s="10" t="s">
        <v>377</v>
      </c>
      <c r="D189" s="98">
        <v>82064</v>
      </c>
      <c r="E189" s="382">
        <v>0</v>
      </c>
      <c r="F189" s="98">
        <v>18365</v>
      </c>
      <c r="G189" s="98">
        <v>25760</v>
      </c>
      <c r="H189" s="98">
        <v>25760</v>
      </c>
      <c r="I189" s="98">
        <v>25760</v>
      </c>
      <c r="J189" s="98"/>
    </row>
    <row r="190" spans="1:10" ht="14.25" hidden="1">
      <c r="A190" s="74" t="s">
        <v>697</v>
      </c>
      <c r="B190" s="10" t="s">
        <v>698</v>
      </c>
      <c r="C190" s="10" t="s">
        <v>377</v>
      </c>
      <c r="D190" s="98">
        <v>90358</v>
      </c>
      <c r="E190" s="382">
        <v>0</v>
      </c>
      <c r="F190" s="98">
        <v>19838</v>
      </c>
      <c r="G190" s="98">
        <v>28363</v>
      </c>
      <c r="H190" s="98">
        <v>28363</v>
      </c>
      <c r="I190" s="98">
        <v>28363</v>
      </c>
      <c r="J190" s="98"/>
    </row>
    <row r="191" spans="1:10" ht="14.25" hidden="1">
      <c r="A191" s="376" t="s">
        <v>699</v>
      </c>
      <c r="B191" s="377" t="s">
        <v>700</v>
      </c>
      <c r="C191" s="377" t="s">
        <v>377</v>
      </c>
      <c r="D191" s="98">
        <v>84274</v>
      </c>
      <c r="E191" s="382">
        <v>0</v>
      </c>
      <c r="F191" s="98">
        <v>18757</v>
      </c>
      <c r="G191" s="98">
        <v>26454</v>
      </c>
      <c r="H191" s="98">
        <v>26454</v>
      </c>
      <c r="I191" s="98">
        <v>26454</v>
      </c>
      <c r="J191" s="98"/>
    </row>
    <row r="192" spans="1:10" ht="14.25" hidden="1">
      <c r="A192" s="380" t="s">
        <v>701</v>
      </c>
      <c r="B192" s="23" t="s">
        <v>702</v>
      </c>
      <c r="C192" s="23" t="s">
        <v>391</v>
      </c>
      <c r="D192" s="381">
        <v>57746</v>
      </c>
      <c r="E192" s="382">
        <v>0</v>
      </c>
      <c r="F192" s="98">
        <v>15237</v>
      </c>
      <c r="G192" s="98">
        <v>18126</v>
      </c>
      <c r="H192" s="98">
        <v>18126</v>
      </c>
      <c r="I192" s="98">
        <v>18126</v>
      </c>
      <c r="J192" s="98"/>
    </row>
    <row r="193" spans="1:10" ht="14.25" hidden="1">
      <c r="A193" s="380" t="s">
        <v>703</v>
      </c>
      <c r="B193" s="23" t="s">
        <v>704</v>
      </c>
      <c r="C193" s="23" t="s">
        <v>391</v>
      </c>
      <c r="D193" s="381">
        <v>61020</v>
      </c>
      <c r="E193" s="382">
        <v>0</v>
      </c>
      <c r="F193" s="98">
        <v>15818</v>
      </c>
      <c r="G193" s="98">
        <v>19154</v>
      </c>
      <c r="H193" s="98">
        <v>19154</v>
      </c>
      <c r="I193" s="98">
        <v>19154</v>
      </c>
      <c r="J193" s="98"/>
    </row>
    <row r="194" spans="1:10" ht="14.25" hidden="1">
      <c r="A194" s="385" t="s">
        <v>705</v>
      </c>
      <c r="B194" s="386" t="s">
        <v>706</v>
      </c>
      <c r="C194" s="386" t="s">
        <v>446</v>
      </c>
      <c r="D194" s="98">
        <v>36706</v>
      </c>
      <c r="E194" s="382">
        <v>0</v>
      </c>
      <c r="F194" s="98">
        <v>10355</v>
      </c>
      <c r="G194" s="98">
        <v>11522</v>
      </c>
      <c r="H194" s="98">
        <v>11522</v>
      </c>
      <c r="I194" s="98">
        <v>11522</v>
      </c>
      <c r="J194" s="98"/>
    </row>
    <row r="195" spans="1:10" ht="14.25" hidden="1">
      <c r="A195" s="380" t="s">
        <v>707</v>
      </c>
      <c r="B195" s="23" t="s">
        <v>708</v>
      </c>
      <c r="C195" s="23" t="s">
        <v>391</v>
      </c>
      <c r="D195" s="381">
        <v>57996</v>
      </c>
      <c r="E195" s="382">
        <v>0</v>
      </c>
      <c r="F195" s="98">
        <v>15281</v>
      </c>
      <c r="G195" s="98">
        <v>18205</v>
      </c>
      <c r="H195" s="98">
        <v>18205</v>
      </c>
      <c r="I195" s="98">
        <v>18205</v>
      </c>
      <c r="J195" s="98"/>
    </row>
    <row r="196" spans="1:10" ht="14.25" hidden="1">
      <c r="A196" s="380" t="s">
        <v>709</v>
      </c>
      <c r="B196" s="23" t="s">
        <v>710</v>
      </c>
      <c r="C196" s="23" t="s">
        <v>391</v>
      </c>
      <c r="D196" s="381">
        <v>67816</v>
      </c>
      <c r="E196" s="382">
        <v>0</v>
      </c>
      <c r="F196" s="98">
        <v>17025</v>
      </c>
      <c r="G196" s="98">
        <v>21287</v>
      </c>
      <c r="H196" s="98">
        <v>21287</v>
      </c>
      <c r="I196" s="98">
        <v>21287</v>
      </c>
      <c r="J196" s="98"/>
    </row>
    <row r="197" spans="1:10" ht="14.25" hidden="1">
      <c r="A197" s="389" t="s">
        <v>711</v>
      </c>
      <c r="B197" s="390" t="s">
        <v>712</v>
      </c>
      <c r="C197" s="390" t="s">
        <v>446</v>
      </c>
      <c r="D197" s="98">
        <v>48192</v>
      </c>
      <c r="E197" s="382">
        <v>0</v>
      </c>
      <c r="F197" s="98">
        <v>12395</v>
      </c>
      <c r="G197" s="98">
        <v>15127</v>
      </c>
      <c r="H197" s="98">
        <v>15127</v>
      </c>
      <c r="I197" s="98">
        <v>15127</v>
      </c>
      <c r="J197" s="98"/>
    </row>
    <row r="198" spans="1:10" ht="14.25" hidden="1">
      <c r="A198" s="74" t="s">
        <v>713</v>
      </c>
      <c r="B198" s="10" t="s">
        <v>714</v>
      </c>
      <c r="C198" s="10" t="s">
        <v>446</v>
      </c>
      <c r="D198" s="98">
        <v>54070</v>
      </c>
      <c r="E198" s="382">
        <v>0</v>
      </c>
      <c r="F198" s="98">
        <v>13439</v>
      </c>
      <c r="G198" s="98">
        <v>16973</v>
      </c>
      <c r="H198" s="98">
        <v>16973</v>
      </c>
      <c r="I198" s="98">
        <v>16973</v>
      </c>
      <c r="J198" s="98"/>
    </row>
    <row r="199" spans="1:10" ht="14.25" hidden="1">
      <c r="A199" s="74" t="s">
        <v>715</v>
      </c>
      <c r="B199" s="10" t="s">
        <v>716</v>
      </c>
      <c r="C199" s="10" t="s">
        <v>396</v>
      </c>
      <c r="D199" s="98">
        <v>40144</v>
      </c>
      <c r="E199" s="382">
        <v>0</v>
      </c>
      <c r="F199" s="98">
        <v>11006</v>
      </c>
      <c r="G199" s="98">
        <v>12601</v>
      </c>
      <c r="H199" s="98">
        <v>12601</v>
      </c>
      <c r="I199" s="98">
        <v>12601</v>
      </c>
      <c r="J199" s="98"/>
    </row>
    <row r="200" spans="1:10" ht="14.25" hidden="1">
      <c r="A200" s="74" t="s">
        <v>717</v>
      </c>
      <c r="B200" s="10" t="s">
        <v>718</v>
      </c>
      <c r="C200" s="10" t="s">
        <v>396</v>
      </c>
      <c r="D200" s="98">
        <v>38838</v>
      </c>
      <c r="E200" s="382">
        <v>0</v>
      </c>
      <c r="F200" s="98">
        <v>10774</v>
      </c>
      <c r="G200" s="98">
        <v>12191</v>
      </c>
      <c r="H200" s="98">
        <v>12191</v>
      </c>
      <c r="I200" s="98">
        <v>12191</v>
      </c>
      <c r="J200" s="98"/>
    </row>
    <row r="201" spans="1:10" ht="14.25" hidden="1">
      <c r="A201" s="74" t="s">
        <v>719</v>
      </c>
      <c r="B201" s="10" t="s">
        <v>720</v>
      </c>
      <c r="C201" s="10" t="s">
        <v>396</v>
      </c>
      <c r="D201" s="98">
        <v>44206</v>
      </c>
      <c r="E201" s="382">
        <v>0</v>
      </c>
      <c r="F201" s="98">
        <v>11727</v>
      </c>
      <c r="G201" s="98">
        <v>13876</v>
      </c>
      <c r="H201" s="98">
        <v>13876</v>
      </c>
      <c r="I201" s="98">
        <v>13876</v>
      </c>
      <c r="J201" s="98"/>
    </row>
    <row r="202" spans="1:10" ht="14.25" hidden="1">
      <c r="A202" s="74" t="s">
        <v>721</v>
      </c>
      <c r="B202" s="10" t="s">
        <v>395</v>
      </c>
      <c r="C202" s="10" t="s">
        <v>396</v>
      </c>
      <c r="D202" s="98">
        <v>37716</v>
      </c>
      <c r="E202" s="382">
        <v>0</v>
      </c>
      <c r="F202" s="98">
        <v>10574</v>
      </c>
      <c r="G202" s="98">
        <v>11839</v>
      </c>
      <c r="H202" s="98">
        <v>11839</v>
      </c>
      <c r="I202" s="98">
        <v>11839</v>
      </c>
      <c r="J202" s="98"/>
    </row>
    <row r="203" spans="1:10" ht="14.25" hidden="1">
      <c r="A203" s="74" t="s">
        <v>722</v>
      </c>
      <c r="B203" s="10" t="s">
        <v>723</v>
      </c>
      <c r="C203" s="10" t="s">
        <v>724</v>
      </c>
      <c r="D203" s="98">
        <v>40200</v>
      </c>
      <c r="E203" s="382">
        <v>0</v>
      </c>
      <c r="F203" s="98">
        <v>12444</v>
      </c>
      <c r="G203" s="98">
        <v>12619</v>
      </c>
      <c r="H203" s="98">
        <v>12619</v>
      </c>
      <c r="I203" s="98">
        <v>12619</v>
      </c>
      <c r="J203" s="98"/>
    </row>
    <row r="204" spans="1:10" ht="14.25" hidden="1">
      <c r="A204" s="74" t="s">
        <v>725</v>
      </c>
      <c r="B204" s="10" t="s">
        <v>726</v>
      </c>
      <c r="C204" s="10" t="s">
        <v>446</v>
      </c>
      <c r="D204" s="98">
        <v>37706</v>
      </c>
      <c r="E204" s="382">
        <v>0</v>
      </c>
      <c r="F204" s="98">
        <v>10533</v>
      </c>
      <c r="G204" s="98">
        <v>11836</v>
      </c>
      <c r="H204" s="98">
        <v>11836</v>
      </c>
      <c r="I204" s="98">
        <v>11836</v>
      </c>
      <c r="J204" s="98"/>
    </row>
    <row r="205" spans="1:10" ht="14.25" hidden="1">
      <c r="A205" s="74" t="s">
        <v>727</v>
      </c>
      <c r="B205" s="10" t="s">
        <v>728</v>
      </c>
      <c r="C205" s="10" t="s">
        <v>724</v>
      </c>
      <c r="D205" s="98">
        <v>26816</v>
      </c>
      <c r="E205" s="382">
        <v>0</v>
      </c>
      <c r="F205" s="98">
        <v>10067</v>
      </c>
      <c r="G205" s="98">
        <v>8418</v>
      </c>
      <c r="H205" s="98">
        <v>8418</v>
      </c>
      <c r="I205" s="98">
        <v>8418</v>
      </c>
      <c r="J205" s="98"/>
    </row>
    <row r="206" spans="1:10" ht="14.25" hidden="1">
      <c r="A206" s="74" t="s">
        <v>729</v>
      </c>
      <c r="B206" s="10" t="s">
        <v>730</v>
      </c>
      <c r="C206" s="10" t="s">
        <v>724</v>
      </c>
      <c r="D206" s="98">
        <v>34288</v>
      </c>
      <c r="E206" s="382">
        <v>0</v>
      </c>
      <c r="F206" s="98">
        <v>11394</v>
      </c>
      <c r="G206" s="98">
        <v>10763</v>
      </c>
      <c r="H206" s="98">
        <v>10763</v>
      </c>
      <c r="I206" s="98">
        <v>10763</v>
      </c>
      <c r="J206" s="98"/>
    </row>
    <row r="207" spans="1:10" ht="14.25" hidden="1">
      <c r="A207" s="74" t="s">
        <v>731</v>
      </c>
      <c r="B207" s="10" t="s">
        <v>726</v>
      </c>
      <c r="C207" s="10" t="s">
        <v>446</v>
      </c>
      <c r="D207" s="98">
        <v>51540</v>
      </c>
      <c r="E207" s="382">
        <v>0</v>
      </c>
      <c r="F207" s="98">
        <v>12990</v>
      </c>
      <c r="G207" s="98">
        <v>16178</v>
      </c>
      <c r="H207" s="98">
        <v>16178</v>
      </c>
      <c r="I207" s="98">
        <v>16178</v>
      </c>
      <c r="J207" s="98"/>
    </row>
    <row r="208" spans="1:10" ht="14.25" hidden="1">
      <c r="A208" s="74" t="s">
        <v>732</v>
      </c>
      <c r="B208" s="10" t="s">
        <v>733</v>
      </c>
      <c r="C208" s="10" t="s">
        <v>724</v>
      </c>
      <c r="D208" s="98">
        <v>18140</v>
      </c>
      <c r="E208" s="382">
        <v>0</v>
      </c>
      <c r="F208" s="98">
        <v>8526</v>
      </c>
      <c r="G208" s="98">
        <v>5694</v>
      </c>
      <c r="H208" s="98">
        <v>5694</v>
      </c>
      <c r="I208" s="98">
        <v>5694</v>
      </c>
      <c r="J208" s="98"/>
    </row>
    <row r="209" spans="1:10" ht="14.25" hidden="1">
      <c r="A209" s="74" t="s">
        <v>734</v>
      </c>
      <c r="B209" s="377" t="s">
        <v>735</v>
      </c>
      <c r="C209" s="10" t="s">
        <v>400</v>
      </c>
      <c r="D209" s="98">
        <v>39258</v>
      </c>
      <c r="E209" s="382">
        <v>0</v>
      </c>
      <c r="F209" s="98">
        <v>11481</v>
      </c>
      <c r="G209" s="98">
        <v>12323</v>
      </c>
      <c r="H209" s="98">
        <v>12323</v>
      </c>
      <c r="I209" s="98">
        <v>12323</v>
      </c>
      <c r="J209" s="98"/>
    </row>
    <row r="210" spans="1:10" ht="14.25" hidden="1">
      <c r="A210" s="399" t="s">
        <v>736</v>
      </c>
      <c r="B210" s="23"/>
      <c r="C210" s="22" t="s">
        <v>396</v>
      </c>
      <c r="D210" s="98">
        <v>36592</v>
      </c>
      <c r="E210" s="382">
        <v>0</v>
      </c>
      <c r="F210" s="98">
        <v>10376</v>
      </c>
      <c r="G210" s="98">
        <v>11486</v>
      </c>
      <c r="H210" s="98">
        <v>11486</v>
      </c>
      <c r="I210" s="98">
        <v>11486</v>
      </c>
      <c r="J210" s="98"/>
    </row>
    <row r="211" spans="1:10" ht="14.25" hidden="1">
      <c r="A211" s="399" t="s">
        <v>737</v>
      </c>
      <c r="B211" s="23"/>
      <c r="C211" s="22" t="s">
        <v>396</v>
      </c>
      <c r="D211" s="98">
        <v>30572</v>
      </c>
      <c r="E211" s="382">
        <v>0</v>
      </c>
      <c r="F211" s="98">
        <v>9306</v>
      </c>
      <c r="G211" s="98">
        <v>9597</v>
      </c>
      <c r="H211" s="98">
        <v>9597</v>
      </c>
      <c r="I211" s="98">
        <v>9597</v>
      </c>
      <c r="J211" s="98"/>
    </row>
    <row r="212" spans="1:10" ht="14.25" hidden="1">
      <c r="A212" s="399" t="s">
        <v>738</v>
      </c>
      <c r="B212" s="23"/>
      <c r="C212" s="22" t="s">
        <v>396</v>
      </c>
      <c r="D212" s="98">
        <v>40322</v>
      </c>
      <c r="E212" s="382">
        <v>0</v>
      </c>
      <c r="F212" s="98">
        <v>11038</v>
      </c>
      <c r="G212" s="98">
        <v>12657</v>
      </c>
      <c r="H212" s="98">
        <v>12657</v>
      </c>
      <c r="I212" s="98">
        <v>12657</v>
      </c>
      <c r="J212" s="98"/>
    </row>
    <row r="213" spans="1:10" ht="14.25" hidden="1">
      <c r="A213" s="399" t="s">
        <v>739</v>
      </c>
      <c r="B213" s="23"/>
      <c r="C213" s="22" t="s">
        <v>396</v>
      </c>
      <c r="D213" s="98">
        <v>34016</v>
      </c>
      <c r="E213" s="382">
        <v>0</v>
      </c>
      <c r="F213" s="98">
        <v>9918</v>
      </c>
      <c r="G213" s="98">
        <v>10678</v>
      </c>
      <c r="H213" s="98">
        <v>10678</v>
      </c>
      <c r="I213" s="98">
        <v>10678</v>
      </c>
      <c r="J213" s="98"/>
    </row>
    <row r="214" spans="1:10" ht="14.25" hidden="1">
      <c r="A214" s="74" t="s">
        <v>740</v>
      </c>
      <c r="B214" s="390" t="s">
        <v>741</v>
      </c>
      <c r="C214" s="10" t="s">
        <v>396</v>
      </c>
      <c r="D214" s="98">
        <v>39506</v>
      </c>
      <c r="E214" s="382">
        <v>0</v>
      </c>
      <c r="F214" s="98">
        <v>10892</v>
      </c>
      <c r="G214" s="98">
        <v>12401</v>
      </c>
      <c r="H214" s="98">
        <v>12401</v>
      </c>
      <c r="I214" s="98">
        <v>12401</v>
      </c>
      <c r="J214" s="98"/>
    </row>
    <row r="215" spans="1:10" ht="14.25" hidden="1">
      <c r="A215" s="74" t="s">
        <v>742</v>
      </c>
      <c r="B215" s="10" t="s">
        <v>743</v>
      </c>
      <c r="C215" s="10" t="s">
        <v>396</v>
      </c>
      <c r="D215" s="98">
        <v>34976</v>
      </c>
      <c r="E215" s="382">
        <v>0</v>
      </c>
      <c r="F215" s="98">
        <v>10088</v>
      </c>
      <c r="G215" s="98">
        <v>10979</v>
      </c>
      <c r="H215" s="98">
        <v>10979</v>
      </c>
      <c r="I215" s="98">
        <v>10979</v>
      </c>
      <c r="J215" s="98"/>
    </row>
    <row r="216" spans="1:10" ht="14.25" hidden="1">
      <c r="A216" s="74" t="s">
        <v>744</v>
      </c>
      <c r="B216" s="10" t="s">
        <v>745</v>
      </c>
      <c r="C216" s="10" t="s">
        <v>446</v>
      </c>
      <c r="D216" s="98">
        <v>59090</v>
      </c>
      <c r="E216" s="382">
        <v>0</v>
      </c>
      <c r="F216" s="98">
        <v>14330</v>
      </c>
      <c r="G216" s="98">
        <v>18548</v>
      </c>
      <c r="H216" s="98">
        <v>18548</v>
      </c>
      <c r="I216" s="98">
        <v>18548</v>
      </c>
      <c r="J216" s="98"/>
    </row>
    <row r="217" spans="1:10" ht="14.25" hidden="1">
      <c r="A217" s="376" t="s">
        <v>746</v>
      </c>
      <c r="B217" s="377" t="s">
        <v>747</v>
      </c>
      <c r="C217" s="377" t="s">
        <v>446</v>
      </c>
      <c r="D217" s="98">
        <v>48140</v>
      </c>
      <c r="E217" s="382">
        <v>0</v>
      </c>
      <c r="F217" s="98">
        <v>12386</v>
      </c>
      <c r="G217" s="98">
        <v>15111</v>
      </c>
      <c r="H217" s="98">
        <v>15111</v>
      </c>
      <c r="I217" s="98">
        <v>15111</v>
      </c>
      <c r="J217" s="98"/>
    </row>
    <row r="218" spans="1:10" ht="14.25" hidden="1">
      <c r="A218" s="380" t="s">
        <v>748</v>
      </c>
      <c r="B218" s="23" t="s">
        <v>749</v>
      </c>
      <c r="C218" s="23" t="s">
        <v>446</v>
      </c>
      <c r="D218" s="381">
        <v>36246</v>
      </c>
      <c r="E218" s="382">
        <v>0</v>
      </c>
      <c r="F218" s="98">
        <v>10274</v>
      </c>
      <c r="G218" s="98">
        <v>11378</v>
      </c>
      <c r="H218" s="98">
        <v>11378</v>
      </c>
      <c r="I218" s="98">
        <v>11378</v>
      </c>
      <c r="J218" s="98"/>
    </row>
    <row r="219" spans="1:10" ht="14.25" hidden="1">
      <c r="A219" s="389" t="s">
        <v>750</v>
      </c>
      <c r="B219" s="390" t="s">
        <v>751</v>
      </c>
      <c r="C219" s="390" t="s">
        <v>446</v>
      </c>
      <c r="D219" s="98">
        <v>54648</v>
      </c>
      <c r="E219" s="382">
        <v>0</v>
      </c>
      <c r="F219" s="98">
        <v>13542</v>
      </c>
      <c r="G219" s="98">
        <v>17154</v>
      </c>
      <c r="H219" s="98">
        <v>17154</v>
      </c>
      <c r="I219" s="98">
        <v>17154</v>
      </c>
      <c r="J219" s="98"/>
    </row>
    <row r="220" spans="1:10" ht="14.25" hidden="1">
      <c r="A220" s="74" t="s">
        <v>752</v>
      </c>
      <c r="B220" s="10" t="s">
        <v>753</v>
      </c>
      <c r="C220" s="10" t="s">
        <v>446</v>
      </c>
      <c r="D220" s="98">
        <v>48230</v>
      </c>
      <c r="E220" s="382">
        <v>0</v>
      </c>
      <c r="F220" s="98">
        <v>12402</v>
      </c>
      <c r="G220" s="98">
        <v>15139</v>
      </c>
      <c r="H220" s="98">
        <v>15139</v>
      </c>
      <c r="I220" s="98">
        <v>15139</v>
      </c>
      <c r="J220" s="98"/>
    </row>
    <row r="221" spans="1:10" ht="14.25" hidden="1">
      <c r="A221" s="74" t="s">
        <v>754</v>
      </c>
      <c r="B221" s="10" t="s">
        <v>755</v>
      </c>
      <c r="C221" s="10" t="s">
        <v>446</v>
      </c>
      <c r="D221" s="98">
        <v>68788</v>
      </c>
      <c r="E221" s="382">
        <v>0</v>
      </c>
      <c r="F221" s="98">
        <v>16053</v>
      </c>
      <c r="G221" s="98">
        <v>21593</v>
      </c>
      <c r="H221" s="98">
        <v>21593</v>
      </c>
      <c r="I221" s="98">
        <v>21593</v>
      </c>
      <c r="J221" s="98"/>
    </row>
    <row r="222" spans="1:10" ht="14.25" hidden="1">
      <c r="A222" s="74" t="s">
        <v>756</v>
      </c>
      <c r="B222" s="10" t="s">
        <v>757</v>
      </c>
      <c r="C222" s="10" t="s">
        <v>377</v>
      </c>
      <c r="D222" s="98">
        <v>53200</v>
      </c>
      <c r="E222" s="382">
        <v>0</v>
      </c>
      <c r="F222" s="98">
        <v>13238</v>
      </c>
      <c r="G222" s="98">
        <v>16699</v>
      </c>
      <c r="H222" s="98">
        <v>16699</v>
      </c>
      <c r="I222" s="98">
        <v>16699</v>
      </c>
      <c r="J222" s="98"/>
    </row>
    <row r="223" spans="1:10" ht="14.25" hidden="1">
      <c r="A223" s="74" t="s">
        <v>758</v>
      </c>
      <c r="B223" s="10" t="s">
        <v>759</v>
      </c>
      <c r="C223" s="10" t="s">
        <v>377</v>
      </c>
      <c r="D223" s="98">
        <v>60288</v>
      </c>
      <c r="E223" s="382">
        <v>0</v>
      </c>
      <c r="F223" s="98">
        <v>14497</v>
      </c>
      <c r="G223" s="98">
        <v>18924</v>
      </c>
      <c r="H223" s="98">
        <v>18924</v>
      </c>
      <c r="I223" s="98">
        <v>18924</v>
      </c>
      <c r="J223" s="98"/>
    </row>
    <row r="224" spans="1:10" ht="14.25" hidden="1">
      <c r="A224" s="74" t="s">
        <v>760</v>
      </c>
      <c r="B224" s="10" t="s">
        <v>761</v>
      </c>
      <c r="C224" s="10" t="s">
        <v>377</v>
      </c>
      <c r="D224" s="98">
        <v>70950</v>
      </c>
      <c r="E224" s="382">
        <v>0</v>
      </c>
      <c r="F224" s="98">
        <v>16391</v>
      </c>
      <c r="G224" s="98">
        <v>22271</v>
      </c>
      <c r="H224" s="98">
        <v>22271</v>
      </c>
      <c r="I224" s="98">
        <v>22271</v>
      </c>
      <c r="J224" s="98"/>
    </row>
    <row r="225" spans="1:10" ht="14.25" hidden="1">
      <c r="A225" s="74" t="s">
        <v>762</v>
      </c>
      <c r="B225" s="10" t="s">
        <v>763</v>
      </c>
      <c r="C225" s="10" t="s">
        <v>377</v>
      </c>
      <c r="D225" s="98">
        <v>72178</v>
      </c>
      <c r="E225" s="382">
        <v>0</v>
      </c>
      <c r="F225" s="98">
        <v>16609</v>
      </c>
      <c r="G225" s="98">
        <v>22657</v>
      </c>
      <c r="H225" s="98">
        <v>22657</v>
      </c>
      <c r="I225" s="98">
        <v>22657</v>
      </c>
      <c r="J225" s="98"/>
    </row>
    <row r="226" spans="1:10" ht="14.25" hidden="1">
      <c r="A226" s="74" t="s">
        <v>764</v>
      </c>
      <c r="B226" s="10" t="s">
        <v>765</v>
      </c>
      <c r="C226" s="10" t="s">
        <v>377</v>
      </c>
      <c r="D226" s="98">
        <v>70594</v>
      </c>
      <c r="E226" s="382">
        <v>0</v>
      </c>
      <c r="F226" s="98">
        <v>16327</v>
      </c>
      <c r="G226" s="98">
        <v>22159</v>
      </c>
      <c r="H226" s="98">
        <v>22159</v>
      </c>
      <c r="I226" s="98">
        <v>22159</v>
      </c>
      <c r="J226" s="98"/>
    </row>
    <row r="227" spans="1:10" ht="14.25" hidden="1">
      <c r="A227" s="74" t="s">
        <v>766</v>
      </c>
      <c r="B227" s="10" t="s">
        <v>767</v>
      </c>
      <c r="C227" s="10" t="s">
        <v>377</v>
      </c>
      <c r="D227" s="98">
        <v>62556</v>
      </c>
      <c r="E227" s="382">
        <v>0</v>
      </c>
      <c r="F227" s="98">
        <v>14900</v>
      </c>
      <c r="G227" s="98">
        <v>19636</v>
      </c>
      <c r="H227" s="98">
        <v>19636</v>
      </c>
      <c r="I227" s="98">
        <v>19636</v>
      </c>
      <c r="J227" s="98"/>
    </row>
    <row r="228" spans="1:10" ht="14.25" hidden="1">
      <c r="A228" s="74" t="s">
        <v>768</v>
      </c>
      <c r="B228" s="10" t="s">
        <v>769</v>
      </c>
      <c r="C228" s="10" t="s">
        <v>377</v>
      </c>
      <c r="D228" s="98">
        <v>69566</v>
      </c>
      <c r="E228" s="382">
        <v>0</v>
      </c>
      <c r="F228" s="98">
        <v>16145</v>
      </c>
      <c r="G228" s="98">
        <v>21837</v>
      </c>
      <c r="H228" s="98">
        <v>21837</v>
      </c>
      <c r="I228" s="98">
        <v>21837</v>
      </c>
      <c r="J228" s="98"/>
    </row>
    <row r="229" spans="1:10" ht="14.25" hidden="1">
      <c r="A229" s="74" t="s">
        <v>770</v>
      </c>
      <c r="B229" s="10" t="s">
        <v>771</v>
      </c>
      <c r="C229" s="10" t="s">
        <v>377</v>
      </c>
      <c r="D229" s="98">
        <v>73120</v>
      </c>
      <c r="E229" s="382">
        <v>0</v>
      </c>
      <c r="F229" s="98">
        <v>16776</v>
      </c>
      <c r="G229" s="98">
        <v>22952</v>
      </c>
      <c r="H229" s="98">
        <v>22952</v>
      </c>
      <c r="I229" s="98">
        <v>22952</v>
      </c>
      <c r="J229" s="98"/>
    </row>
    <row r="230" spans="1:10" ht="14.25" hidden="1">
      <c r="A230" s="74" t="s">
        <v>772</v>
      </c>
      <c r="B230" s="10" t="s">
        <v>773</v>
      </c>
      <c r="C230" s="10" t="s">
        <v>377</v>
      </c>
      <c r="D230" s="98">
        <v>72242</v>
      </c>
      <c r="E230" s="382">
        <v>0</v>
      </c>
      <c r="F230" s="98">
        <v>16620</v>
      </c>
      <c r="G230" s="98">
        <v>22677</v>
      </c>
      <c r="H230" s="98">
        <v>22677</v>
      </c>
      <c r="I230" s="98">
        <v>22677</v>
      </c>
      <c r="J230" s="98"/>
    </row>
    <row r="231" spans="1:10" ht="14.25" hidden="1">
      <c r="A231" s="74" t="s">
        <v>774</v>
      </c>
      <c r="B231" s="10" t="s">
        <v>775</v>
      </c>
      <c r="C231" s="10" t="s">
        <v>377</v>
      </c>
      <c r="D231" s="98">
        <v>64574</v>
      </c>
      <c r="E231" s="382">
        <v>0</v>
      </c>
      <c r="F231" s="98">
        <v>15258</v>
      </c>
      <c r="G231" s="98">
        <v>20270</v>
      </c>
      <c r="H231" s="98">
        <v>20270</v>
      </c>
      <c r="I231" s="98">
        <v>20270</v>
      </c>
      <c r="J231" s="98"/>
    </row>
    <row r="232" spans="1:10" ht="14.25" hidden="1">
      <c r="A232" s="74" t="s">
        <v>776</v>
      </c>
      <c r="B232" s="10" t="s">
        <v>777</v>
      </c>
      <c r="C232" s="10" t="s">
        <v>377</v>
      </c>
      <c r="D232" s="98">
        <v>63870</v>
      </c>
      <c r="E232" s="382">
        <v>0</v>
      </c>
      <c r="F232" s="98">
        <v>15133</v>
      </c>
      <c r="G232" s="98">
        <v>20049</v>
      </c>
      <c r="H232" s="98">
        <v>20049</v>
      </c>
      <c r="I232" s="98">
        <v>20049</v>
      </c>
      <c r="J232" s="98"/>
    </row>
    <row r="233" spans="1:10" ht="14.25" hidden="1">
      <c r="A233" s="74" t="s">
        <v>778</v>
      </c>
      <c r="B233" s="10" t="s">
        <v>779</v>
      </c>
      <c r="C233" s="10" t="s">
        <v>377</v>
      </c>
      <c r="D233" s="98">
        <v>63470</v>
      </c>
      <c r="E233" s="382">
        <v>0</v>
      </c>
      <c r="F233" s="98">
        <v>15062</v>
      </c>
      <c r="G233" s="98">
        <v>19923</v>
      </c>
      <c r="H233" s="98">
        <v>19923</v>
      </c>
      <c r="I233" s="98">
        <v>19923</v>
      </c>
      <c r="J233" s="98"/>
    </row>
    <row r="234" spans="1:10" ht="14.25" hidden="1">
      <c r="A234" s="74" t="s">
        <v>780</v>
      </c>
      <c r="B234" s="10" t="s">
        <v>781</v>
      </c>
      <c r="C234" s="10" t="s">
        <v>377</v>
      </c>
      <c r="D234" s="98">
        <v>68624</v>
      </c>
      <c r="E234" s="382">
        <v>0</v>
      </c>
      <c r="F234" s="98">
        <v>15978</v>
      </c>
      <c r="G234" s="98">
        <v>21541</v>
      </c>
      <c r="H234" s="98">
        <v>21541</v>
      </c>
      <c r="I234" s="98">
        <v>21541</v>
      </c>
      <c r="J234" s="98"/>
    </row>
    <row r="235" spans="1:10" ht="14.25" hidden="1">
      <c r="A235" s="74" t="s">
        <v>782</v>
      </c>
      <c r="B235" s="10" t="s">
        <v>783</v>
      </c>
      <c r="C235" s="10" t="s">
        <v>377</v>
      </c>
      <c r="D235" s="98">
        <v>66242</v>
      </c>
      <c r="E235" s="382">
        <v>0</v>
      </c>
      <c r="F235" s="98">
        <v>15555</v>
      </c>
      <c r="G235" s="98">
        <v>20793</v>
      </c>
      <c r="H235" s="98">
        <v>20793</v>
      </c>
      <c r="I235" s="98">
        <v>20793</v>
      </c>
      <c r="J235" s="98"/>
    </row>
    <row r="236" spans="1:10" ht="14.25" hidden="1">
      <c r="A236" s="74" t="s">
        <v>784</v>
      </c>
      <c r="B236" s="10" t="s">
        <v>785</v>
      </c>
      <c r="C236" s="10" t="s">
        <v>377</v>
      </c>
      <c r="D236" s="98">
        <v>53956</v>
      </c>
      <c r="E236" s="382">
        <v>0</v>
      </c>
      <c r="F236" s="98">
        <v>13373</v>
      </c>
      <c r="G236" s="98">
        <v>16937</v>
      </c>
      <c r="H236" s="98">
        <v>16937</v>
      </c>
      <c r="I236" s="98">
        <v>16937</v>
      </c>
      <c r="J236" s="98"/>
    </row>
    <row r="237" spans="1:10" ht="14.25" hidden="1">
      <c r="A237" s="74" t="s">
        <v>786</v>
      </c>
      <c r="B237" s="10" t="s">
        <v>787</v>
      </c>
      <c r="C237" s="10" t="s">
        <v>446</v>
      </c>
      <c r="D237" s="98">
        <v>55786</v>
      </c>
      <c r="E237" s="382">
        <v>0</v>
      </c>
      <c r="F237" s="98">
        <v>13744</v>
      </c>
      <c r="G237" s="98">
        <v>17511</v>
      </c>
      <c r="H237" s="98">
        <v>17511</v>
      </c>
      <c r="I237" s="98">
        <v>17511</v>
      </c>
      <c r="J237" s="98"/>
    </row>
    <row r="238" spans="1:10" ht="14.25" hidden="1">
      <c r="A238" s="74" t="s">
        <v>788</v>
      </c>
      <c r="B238" s="10" t="s">
        <v>789</v>
      </c>
      <c r="C238" s="10" t="s">
        <v>446</v>
      </c>
      <c r="D238" s="98">
        <v>58012</v>
      </c>
      <c r="E238" s="382">
        <v>0</v>
      </c>
      <c r="F238" s="98">
        <v>14139</v>
      </c>
      <c r="G238" s="98">
        <v>18210</v>
      </c>
      <c r="H238" s="98">
        <v>18210</v>
      </c>
      <c r="I238" s="98">
        <v>18210</v>
      </c>
      <c r="J238" s="98"/>
    </row>
    <row r="239" spans="1:10" ht="14.25" hidden="1">
      <c r="A239" s="74" t="s">
        <v>790</v>
      </c>
      <c r="B239" s="10" t="s">
        <v>791</v>
      </c>
      <c r="C239" s="10" t="s">
        <v>446</v>
      </c>
      <c r="D239" s="98">
        <v>65742</v>
      </c>
      <c r="E239" s="382">
        <v>0</v>
      </c>
      <c r="F239" s="98">
        <v>15512</v>
      </c>
      <c r="G239" s="98">
        <v>20636</v>
      </c>
      <c r="H239" s="98">
        <v>20636</v>
      </c>
      <c r="I239" s="98">
        <v>20636</v>
      </c>
      <c r="J239" s="98"/>
    </row>
    <row r="240" spans="1:10" ht="14.25" hidden="1">
      <c r="A240" s="74" t="s">
        <v>792</v>
      </c>
      <c r="B240" s="10" t="s">
        <v>793</v>
      </c>
      <c r="C240" s="10" t="s">
        <v>446</v>
      </c>
      <c r="D240" s="98">
        <v>70442</v>
      </c>
      <c r="E240" s="382">
        <v>0</v>
      </c>
      <c r="F240" s="98">
        <v>16346</v>
      </c>
      <c r="G240" s="98">
        <v>22112</v>
      </c>
      <c r="H240" s="98">
        <v>22112</v>
      </c>
      <c r="I240" s="98">
        <v>22112</v>
      </c>
      <c r="J240" s="98"/>
    </row>
    <row r="241" spans="1:10" ht="14.25" hidden="1">
      <c r="A241" s="74" t="s">
        <v>794</v>
      </c>
      <c r="B241" s="10" t="s">
        <v>795</v>
      </c>
      <c r="C241" s="10" t="s">
        <v>446</v>
      </c>
      <c r="D241" s="98">
        <v>50626</v>
      </c>
      <c r="E241" s="382">
        <v>0</v>
      </c>
      <c r="F241" s="98">
        <v>12827</v>
      </c>
      <c r="G241" s="98">
        <v>15892</v>
      </c>
      <c r="H241" s="98">
        <v>15892</v>
      </c>
      <c r="I241" s="98">
        <v>15892</v>
      </c>
      <c r="J241" s="98"/>
    </row>
    <row r="242" spans="1:10" ht="14.25" hidden="1">
      <c r="A242" s="74" t="s">
        <v>796</v>
      </c>
      <c r="B242" s="10" t="s">
        <v>797</v>
      </c>
      <c r="C242" s="10" t="s">
        <v>446</v>
      </c>
      <c r="D242" s="98">
        <v>44438</v>
      </c>
      <c r="E242" s="382">
        <v>0</v>
      </c>
      <c r="F242" s="98">
        <v>11728</v>
      </c>
      <c r="G242" s="98">
        <v>13949</v>
      </c>
      <c r="H242" s="98">
        <v>13949</v>
      </c>
      <c r="I242" s="98">
        <v>13949</v>
      </c>
      <c r="J242" s="98"/>
    </row>
    <row r="243" spans="1:10" ht="14.25" hidden="1">
      <c r="A243" s="74" t="s">
        <v>798</v>
      </c>
      <c r="B243" s="10" t="s">
        <v>799</v>
      </c>
      <c r="C243" s="10" t="s">
        <v>800</v>
      </c>
      <c r="D243" s="98">
        <v>66582</v>
      </c>
      <c r="E243" s="382">
        <v>0</v>
      </c>
      <c r="F243" s="98">
        <v>16590</v>
      </c>
      <c r="G243" s="98">
        <v>20900</v>
      </c>
      <c r="H243" s="98">
        <v>20900</v>
      </c>
      <c r="I243" s="98">
        <v>20900</v>
      </c>
      <c r="J243" s="98"/>
    </row>
    <row r="244" spans="1:10" ht="14.25" hidden="1">
      <c r="A244" s="74" t="s">
        <v>801</v>
      </c>
      <c r="B244" s="10" t="s">
        <v>799</v>
      </c>
      <c r="C244" s="10" t="s">
        <v>800</v>
      </c>
      <c r="D244" s="98">
        <v>72123</v>
      </c>
      <c r="E244" s="382">
        <v>0</v>
      </c>
      <c r="F244" s="98">
        <v>17574</v>
      </c>
      <c r="G244" s="98">
        <v>22639</v>
      </c>
      <c r="H244" s="98">
        <v>22639</v>
      </c>
      <c r="I244" s="98">
        <v>22639</v>
      </c>
      <c r="J244" s="98"/>
    </row>
    <row r="245" spans="1:10" ht="14.25" hidden="1">
      <c r="A245" s="74" t="s">
        <v>802</v>
      </c>
      <c r="B245" s="10" t="s">
        <v>799</v>
      </c>
      <c r="C245" s="10" t="s">
        <v>800</v>
      </c>
      <c r="D245" s="98">
        <v>33700</v>
      </c>
      <c r="E245" s="382">
        <v>0</v>
      </c>
      <c r="F245" s="98">
        <v>10750</v>
      </c>
      <c r="G245" s="98">
        <v>10578</v>
      </c>
      <c r="H245" s="98">
        <v>10578</v>
      </c>
      <c r="I245" s="98">
        <v>10578</v>
      </c>
      <c r="J245" s="98"/>
    </row>
    <row r="246" spans="1:10" ht="14.25" hidden="1">
      <c r="A246" s="74" t="s">
        <v>803</v>
      </c>
      <c r="B246" s="10" t="s">
        <v>799</v>
      </c>
      <c r="C246" s="10" t="s">
        <v>800</v>
      </c>
      <c r="D246" s="98">
        <v>39700</v>
      </c>
      <c r="E246" s="382">
        <v>0</v>
      </c>
      <c r="F246" s="98">
        <v>11816</v>
      </c>
      <c r="G246" s="98">
        <v>12462</v>
      </c>
      <c r="H246" s="98">
        <v>12462</v>
      </c>
      <c r="I246" s="98">
        <v>12462</v>
      </c>
      <c r="J246" s="98"/>
    </row>
    <row r="247" spans="1:10" ht="14.25" hidden="1">
      <c r="A247" s="74" t="s">
        <v>804</v>
      </c>
      <c r="B247" s="10" t="s">
        <v>799</v>
      </c>
      <c r="C247" s="10" t="s">
        <v>800</v>
      </c>
      <c r="D247" s="98">
        <v>44020</v>
      </c>
      <c r="E247" s="382">
        <v>0</v>
      </c>
      <c r="F247" s="98">
        <v>12583</v>
      </c>
      <c r="G247" s="98">
        <v>13818</v>
      </c>
      <c r="H247" s="98">
        <v>13818</v>
      </c>
      <c r="I247" s="98">
        <v>13818</v>
      </c>
      <c r="J247" s="98"/>
    </row>
    <row r="248" spans="1:10" ht="14.25" hidden="1">
      <c r="A248" s="74" t="s">
        <v>805</v>
      </c>
      <c r="B248" s="10" t="s">
        <v>799</v>
      </c>
      <c r="C248" s="10" t="s">
        <v>800</v>
      </c>
      <c r="D248" s="98">
        <v>55558</v>
      </c>
      <c r="E248" s="382">
        <v>0</v>
      </c>
      <c r="F248" s="98">
        <v>14632</v>
      </c>
      <c r="G248" s="98">
        <v>17440</v>
      </c>
      <c r="H248" s="98">
        <v>17440</v>
      </c>
      <c r="I248" s="98">
        <v>17440</v>
      </c>
      <c r="J248" s="98"/>
    </row>
    <row r="249" spans="1:10" ht="14.25" hidden="1">
      <c r="A249" s="376" t="s">
        <v>806</v>
      </c>
      <c r="B249" s="377" t="s">
        <v>807</v>
      </c>
      <c r="C249" s="377" t="s">
        <v>676</v>
      </c>
      <c r="D249" s="98">
        <v>47764</v>
      </c>
      <c r="E249" s="382">
        <v>0</v>
      </c>
      <c r="F249" s="98">
        <v>13480</v>
      </c>
      <c r="G249" s="98">
        <v>14993</v>
      </c>
      <c r="H249" s="98">
        <v>14993</v>
      </c>
      <c r="I249" s="98">
        <v>14993</v>
      </c>
      <c r="J249" s="98"/>
    </row>
    <row r="250" spans="1:10" ht="14.25" hidden="1">
      <c r="A250" s="380" t="s">
        <v>808</v>
      </c>
      <c r="B250" s="23" t="s">
        <v>809</v>
      </c>
      <c r="C250" s="23" t="s">
        <v>676</v>
      </c>
      <c r="D250" s="400">
        <v>45330</v>
      </c>
      <c r="E250" s="382">
        <v>0</v>
      </c>
      <c r="F250" s="98">
        <v>13048</v>
      </c>
      <c r="G250" s="98">
        <v>14229</v>
      </c>
      <c r="H250" s="98">
        <v>14229</v>
      </c>
      <c r="I250" s="98">
        <v>14229</v>
      </c>
      <c r="J250" s="98"/>
    </row>
    <row r="251" spans="1:10" ht="14.25" hidden="1">
      <c r="A251" s="380" t="s">
        <v>810</v>
      </c>
      <c r="B251" s="23" t="s">
        <v>811</v>
      </c>
      <c r="C251" s="23" t="s">
        <v>812</v>
      </c>
      <c r="D251" s="24">
        <v>28570</v>
      </c>
      <c r="E251" s="393">
        <v>0</v>
      </c>
      <c r="F251" s="98">
        <v>9703</v>
      </c>
      <c r="G251" s="98">
        <v>8968</v>
      </c>
      <c r="H251" s="98">
        <v>8968</v>
      </c>
      <c r="I251" s="98">
        <v>8968</v>
      </c>
      <c r="J251" s="98"/>
    </row>
    <row r="252" spans="1:10" ht="14.25" hidden="1">
      <c r="A252" s="380" t="s">
        <v>813</v>
      </c>
      <c r="B252" s="23" t="s">
        <v>814</v>
      </c>
      <c r="C252" s="23" t="s">
        <v>812</v>
      </c>
      <c r="D252" s="397">
        <v>29744</v>
      </c>
      <c r="E252" s="382">
        <v>0</v>
      </c>
      <c r="F252" s="98">
        <v>9912</v>
      </c>
      <c r="G252" s="98">
        <v>9337</v>
      </c>
      <c r="H252" s="98">
        <v>9337</v>
      </c>
      <c r="I252" s="98">
        <v>9337</v>
      </c>
      <c r="J252" s="98"/>
    </row>
    <row r="253" spans="1:10" ht="14.25" hidden="1">
      <c r="A253" s="380" t="s">
        <v>815</v>
      </c>
      <c r="B253" s="23" t="s">
        <v>816</v>
      </c>
      <c r="C253" s="23" t="s">
        <v>812</v>
      </c>
      <c r="D253" s="381">
        <v>32630</v>
      </c>
      <c r="E253" s="382">
        <v>0</v>
      </c>
      <c r="F253" s="98">
        <v>10424</v>
      </c>
      <c r="G253" s="98">
        <v>10243</v>
      </c>
      <c r="H253" s="98">
        <v>10243</v>
      </c>
      <c r="I253" s="98">
        <v>10243</v>
      </c>
      <c r="J253" s="98"/>
    </row>
    <row r="254" spans="1:10" ht="14.25" hidden="1">
      <c r="A254" s="385" t="s">
        <v>817</v>
      </c>
      <c r="B254" s="386" t="s">
        <v>818</v>
      </c>
      <c r="C254" s="386" t="s">
        <v>812</v>
      </c>
      <c r="D254" s="391">
        <v>25100</v>
      </c>
      <c r="E254" s="382">
        <v>0</v>
      </c>
      <c r="F254" s="98">
        <v>9087</v>
      </c>
      <c r="G254" s="98">
        <v>7879</v>
      </c>
      <c r="H254" s="98">
        <v>7879</v>
      </c>
      <c r="I254" s="98">
        <v>7879</v>
      </c>
      <c r="J254" s="98"/>
    </row>
    <row r="255" spans="1:10" ht="14.25" hidden="1">
      <c r="A255" s="380" t="s">
        <v>819</v>
      </c>
      <c r="B255" s="23" t="s">
        <v>820</v>
      </c>
      <c r="C255" s="23" t="s">
        <v>812</v>
      </c>
      <c r="D255" s="24">
        <v>30718</v>
      </c>
      <c r="E255" s="393">
        <v>0</v>
      </c>
      <c r="F255" s="98">
        <v>10085</v>
      </c>
      <c r="G255" s="98">
        <v>9642</v>
      </c>
      <c r="H255" s="98">
        <v>9642</v>
      </c>
      <c r="I255" s="98">
        <v>9642</v>
      </c>
      <c r="J255" s="98"/>
    </row>
    <row r="256" spans="1:10" ht="14.25" hidden="1">
      <c r="A256" s="389" t="s">
        <v>821</v>
      </c>
      <c r="B256" s="390" t="s">
        <v>822</v>
      </c>
      <c r="C256" s="390" t="s">
        <v>400</v>
      </c>
      <c r="D256" s="398">
        <v>53155</v>
      </c>
      <c r="E256" s="382">
        <v>0</v>
      </c>
      <c r="F256" s="98">
        <v>13949</v>
      </c>
      <c r="G256" s="98">
        <v>16685</v>
      </c>
      <c r="H256" s="98">
        <v>16685</v>
      </c>
      <c r="I256" s="98">
        <v>16685</v>
      </c>
      <c r="J256" s="98"/>
    </row>
    <row r="257" spans="1:10" ht="14.25" hidden="1">
      <c r="A257" s="74" t="s">
        <v>823</v>
      </c>
      <c r="B257" s="10" t="s">
        <v>824</v>
      </c>
      <c r="C257" s="10" t="s">
        <v>446</v>
      </c>
      <c r="D257" s="98">
        <v>43134</v>
      </c>
      <c r="E257" s="382">
        <v>0</v>
      </c>
      <c r="F257" s="98">
        <v>11497</v>
      </c>
      <c r="G257" s="98">
        <v>13540</v>
      </c>
      <c r="H257" s="98">
        <v>13540</v>
      </c>
      <c r="I257" s="98">
        <v>13540</v>
      </c>
      <c r="J257" s="98"/>
    </row>
    <row r="258" spans="1:10" ht="14.25" hidden="1">
      <c r="A258" s="74" t="s">
        <v>825</v>
      </c>
      <c r="B258" s="10" t="s">
        <v>826</v>
      </c>
      <c r="C258" s="10" t="s">
        <v>446</v>
      </c>
      <c r="D258" s="98">
        <v>58638</v>
      </c>
      <c r="E258" s="382">
        <v>0</v>
      </c>
      <c r="F258" s="98">
        <v>14250</v>
      </c>
      <c r="G258" s="98">
        <v>18406</v>
      </c>
      <c r="H258" s="98">
        <v>18406</v>
      </c>
      <c r="I258" s="98">
        <v>18406</v>
      </c>
      <c r="J258" s="98"/>
    </row>
    <row r="259" spans="1:10" ht="14.25" hidden="1">
      <c r="A259" s="74" t="s">
        <v>827</v>
      </c>
      <c r="B259" s="10" t="s">
        <v>828</v>
      </c>
      <c r="C259" s="10" t="s">
        <v>400</v>
      </c>
      <c r="D259" s="98">
        <v>29050</v>
      </c>
      <c r="E259" s="382">
        <v>0</v>
      </c>
      <c r="F259" s="98">
        <v>9668</v>
      </c>
      <c r="G259" s="98">
        <v>9119</v>
      </c>
      <c r="H259" s="98">
        <v>9119</v>
      </c>
      <c r="I259" s="98">
        <v>9119</v>
      </c>
      <c r="J259" s="98"/>
    </row>
    <row r="260" spans="1:10" ht="14.25" hidden="1">
      <c r="A260" s="74" t="s">
        <v>829</v>
      </c>
      <c r="B260" s="10" t="s">
        <v>830</v>
      </c>
      <c r="C260" s="10" t="s">
        <v>400</v>
      </c>
      <c r="D260" s="391">
        <v>32490</v>
      </c>
      <c r="E260" s="382">
        <v>0</v>
      </c>
      <c r="F260" s="98">
        <v>10279</v>
      </c>
      <c r="G260" s="98">
        <v>10199</v>
      </c>
      <c r="H260" s="98">
        <v>10199</v>
      </c>
      <c r="I260" s="98">
        <v>10199</v>
      </c>
      <c r="J260" s="98"/>
    </row>
    <row r="261" spans="1:10" ht="14.25" hidden="1">
      <c r="A261" s="74" t="s">
        <v>257</v>
      </c>
      <c r="B261" s="10" t="s">
        <v>831</v>
      </c>
      <c r="C261" s="179" t="s">
        <v>391</v>
      </c>
      <c r="D261" s="392">
        <v>51768</v>
      </c>
      <c r="E261" s="393">
        <v>0</v>
      </c>
      <c r="F261" s="98">
        <v>14176</v>
      </c>
      <c r="G261" s="98">
        <v>16250</v>
      </c>
      <c r="H261" s="98">
        <v>16250</v>
      </c>
      <c r="I261" s="98">
        <v>16250</v>
      </c>
      <c r="J261" s="98"/>
    </row>
    <row r="262" spans="1:10" ht="14.25" hidden="1">
      <c r="A262" s="74" t="s">
        <v>832</v>
      </c>
      <c r="B262" s="10" t="s">
        <v>833</v>
      </c>
      <c r="C262" s="10" t="s">
        <v>800</v>
      </c>
      <c r="D262" s="401">
        <v>62988</v>
      </c>
      <c r="E262" s="382">
        <v>0</v>
      </c>
      <c r="F262" s="98">
        <v>15952</v>
      </c>
      <c r="G262" s="98">
        <v>19772</v>
      </c>
      <c r="H262" s="98">
        <v>19772</v>
      </c>
      <c r="I262" s="98">
        <v>19772</v>
      </c>
      <c r="J262" s="98"/>
    </row>
    <row r="263" spans="1:10" ht="14.25" hidden="1">
      <c r="A263" s="74" t="s">
        <v>253</v>
      </c>
      <c r="B263" s="10" t="s">
        <v>834</v>
      </c>
      <c r="C263" s="179" t="s">
        <v>391</v>
      </c>
      <c r="D263" s="392">
        <v>51768</v>
      </c>
      <c r="E263" s="393">
        <v>0</v>
      </c>
      <c r="F263" s="98">
        <v>14176</v>
      </c>
      <c r="G263" s="98">
        <v>16250</v>
      </c>
      <c r="H263" s="98">
        <v>16250</v>
      </c>
      <c r="I263" s="98">
        <v>16250</v>
      </c>
      <c r="J263" s="98"/>
    </row>
    <row r="264" spans="1:10" ht="14.25" hidden="1">
      <c r="A264" s="74" t="s">
        <v>835</v>
      </c>
      <c r="B264" s="10" t="s">
        <v>836</v>
      </c>
      <c r="C264" s="10" t="s">
        <v>391</v>
      </c>
      <c r="D264" s="398">
        <v>48832</v>
      </c>
      <c r="E264" s="382">
        <v>0</v>
      </c>
      <c r="F264" s="98">
        <v>13654</v>
      </c>
      <c r="G264" s="98">
        <v>15328</v>
      </c>
      <c r="H264" s="98">
        <v>15328</v>
      </c>
      <c r="I264" s="98">
        <v>15328</v>
      </c>
      <c r="J264" s="98"/>
    </row>
    <row r="265" spans="1:10" ht="14.25" hidden="1">
      <c r="A265" s="74" t="s">
        <v>837</v>
      </c>
      <c r="B265" s="10" t="s">
        <v>838</v>
      </c>
      <c r="C265" s="10" t="s">
        <v>446</v>
      </c>
      <c r="D265" s="98">
        <v>33784</v>
      </c>
      <c r="E265" s="382">
        <v>0</v>
      </c>
      <c r="F265" s="98">
        <v>9836</v>
      </c>
      <c r="G265" s="98">
        <v>10605</v>
      </c>
      <c r="H265" s="98">
        <v>10605</v>
      </c>
      <c r="I265" s="98">
        <v>10605</v>
      </c>
      <c r="J265" s="98"/>
    </row>
    <row r="266" spans="1:10" ht="14.25" hidden="1">
      <c r="A266" s="74" t="s">
        <v>839</v>
      </c>
      <c r="B266" s="10" t="s">
        <v>840</v>
      </c>
      <c r="C266" s="10" t="s">
        <v>841</v>
      </c>
      <c r="D266" s="98">
        <v>30282</v>
      </c>
      <c r="E266" s="382">
        <v>0</v>
      </c>
      <c r="F266" s="98">
        <v>8705</v>
      </c>
      <c r="G266" s="98">
        <v>9506</v>
      </c>
      <c r="H266" s="98">
        <v>9506</v>
      </c>
      <c r="I266" s="98">
        <v>9506</v>
      </c>
      <c r="J266" s="98"/>
    </row>
    <row r="267" spans="1:10" ht="14.25" hidden="1">
      <c r="A267" s="74" t="s">
        <v>842</v>
      </c>
      <c r="B267" s="10" t="s">
        <v>843</v>
      </c>
      <c r="C267" s="10" t="s">
        <v>841</v>
      </c>
      <c r="D267" s="98">
        <v>29532</v>
      </c>
      <c r="E267" s="382">
        <v>0</v>
      </c>
      <c r="F267" s="98">
        <v>8572</v>
      </c>
      <c r="G267" s="98">
        <v>9270</v>
      </c>
      <c r="H267" s="98">
        <v>9270</v>
      </c>
      <c r="I267" s="98">
        <v>9270</v>
      </c>
      <c r="J267" s="98"/>
    </row>
    <row r="268" spans="1:10" ht="14.25" hidden="1">
      <c r="A268" s="74" t="s">
        <v>844</v>
      </c>
      <c r="B268" s="10" t="s">
        <v>845</v>
      </c>
      <c r="C268" s="10" t="s">
        <v>377</v>
      </c>
      <c r="D268" s="98">
        <v>89029</v>
      </c>
      <c r="E268" s="382">
        <v>0</v>
      </c>
      <c r="F268" s="98">
        <v>19602</v>
      </c>
      <c r="G268" s="98">
        <v>27946</v>
      </c>
      <c r="H268" s="98">
        <v>27946</v>
      </c>
      <c r="I268" s="98">
        <v>27946</v>
      </c>
      <c r="J268" s="98"/>
    </row>
    <row r="269" spans="1:10" ht="14.25" hidden="1">
      <c r="A269" s="74" t="s">
        <v>846</v>
      </c>
      <c r="B269" s="10" t="s">
        <v>847</v>
      </c>
      <c r="C269" s="10" t="s">
        <v>841</v>
      </c>
      <c r="D269" s="98">
        <v>27693</v>
      </c>
      <c r="E269" s="382">
        <v>0</v>
      </c>
      <c r="F269" s="98">
        <v>8245</v>
      </c>
      <c r="G269" s="98">
        <v>8693</v>
      </c>
      <c r="H269" s="98">
        <v>8693</v>
      </c>
      <c r="I269" s="98">
        <v>8693</v>
      </c>
      <c r="J269" s="98"/>
    </row>
    <row r="270" spans="1:10" ht="14.25" hidden="1">
      <c r="A270" s="74" t="s">
        <v>848</v>
      </c>
      <c r="B270" s="10" t="s">
        <v>849</v>
      </c>
      <c r="C270" s="10" t="s">
        <v>841</v>
      </c>
      <c r="D270" s="98">
        <v>20813</v>
      </c>
      <c r="E270" s="382">
        <v>0</v>
      </c>
      <c r="F270" s="98">
        <v>7023</v>
      </c>
      <c r="G270" s="98">
        <v>6533</v>
      </c>
      <c r="H270" s="98">
        <v>6533</v>
      </c>
      <c r="I270" s="98">
        <v>6533</v>
      </c>
      <c r="J270" s="98"/>
    </row>
    <row r="271" spans="1:10" ht="14.25" hidden="1">
      <c r="A271" s="74" t="s">
        <v>850</v>
      </c>
      <c r="B271" s="10" t="s">
        <v>851</v>
      </c>
      <c r="C271" s="10" t="s">
        <v>841</v>
      </c>
      <c r="D271" s="98">
        <v>24358</v>
      </c>
      <c r="E271" s="382">
        <v>0</v>
      </c>
      <c r="F271" s="98">
        <v>7653</v>
      </c>
      <c r="G271" s="98">
        <v>7646</v>
      </c>
      <c r="H271" s="98">
        <v>7646</v>
      </c>
      <c r="I271" s="98">
        <v>7646</v>
      </c>
      <c r="J271" s="98"/>
    </row>
    <row r="272" spans="1:10" ht="14.25" hidden="1">
      <c r="A272" s="74" t="s">
        <v>852</v>
      </c>
      <c r="B272" s="10" t="s">
        <v>853</v>
      </c>
      <c r="C272" s="10" t="s">
        <v>377</v>
      </c>
      <c r="D272" s="98">
        <v>58226</v>
      </c>
      <c r="E272" s="382">
        <v>0</v>
      </c>
      <c r="F272" s="98">
        <v>14131</v>
      </c>
      <c r="G272" s="98">
        <v>18277</v>
      </c>
      <c r="H272" s="98">
        <v>18277</v>
      </c>
      <c r="I272" s="98">
        <v>18277</v>
      </c>
      <c r="J272" s="98"/>
    </row>
    <row r="273" spans="1:10" ht="14.25" hidden="1">
      <c r="A273" s="74" t="s">
        <v>854</v>
      </c>
      <c r="B273" s="10" t="s">
        <v>855</v>
      </c>
      <c r="C273" s="10" t="s">
        <v>446</v>
      </c>
      <c r="D273" s="98">
        <v>47290</v>
      </c>
      <c r="E273" s="382">
        <v>0</v>
      </c>
      <c r="F273" s="98">
        <v>12235</v>
      </c>
      <c r="G273" s="98">
        <v>14844</v>
      </c>
      <c r="H273" s="98">
        <v>14844</v>
      </c>
      <c r="I273" s="98">
        <v>14844</v>
      </c>
      <c r="J273" s="98"/>
    </row>
    <row r="274" spans="1:10" ht="14.25" hidden="1">
      <c r="A274" s="74" t="s">
        <v>856</v>
      </c>
      <c r="B274" s="10" t="s">
        <v>857</v>
      </c>
      <c r="C274" s="10" t="s">
        <v>724</v>
      </c>
      <c r="D274" s="98">
        <v>37554</v>
      </c>
      <c r="E274" s="382">
        <v>0</v>
      </c>
      <c r="F274" s="98">
        <v>11974</v>
      </c>
      <c r="G274" s="98">
        <v>11788</v>
      </c>
      <c r="H274" s="98">
        <v>11788</v>
      </c>
      <c r="I274" s="98">
        <v>11788</v>
      </c>
      <c r="J274" s="98"/>
    </row>
    <row r="275" spans="1:10" ht="14.25" hidden="1">
      <c r="A275" s="74" t="s">
        <v>858</v>
      </c>
      <c r="B275" s="10" t="s">
        <v>859</v>
      </c>
      <c r="C275" s="10" t="s">
        <v>724</v>
      </c>
      <c r="D275" s="98">
        <v>36750</v>
      </c>
      <c r="E275" s="382">
        <v>0</v>
      </c>
      <c r="F275" s="98">
        <v>11831</v>
      </c>
      <c r="G275" s="98">
        <v>11536</v>
      </c>
      <c r="H275" s="98">
        <v>11536</v>
      </c>
      <c r="I275" s="98">
        <v>11536</v>
      </c>
      <c r="J275" s="98"/>
    </row>
    <row r="276" spans="1:10" ht="14.25" hidden="1">
      <c r="A276" s="74" t="s">
        <v>860</v>
      </c>
      <c r="B276" s="10" t="s">
        <v>861</v>
      </c>
      <c r="C276" s="10" t="s">
        <v>724</v>
      </c>
      <c r="D276" s="98">
        <v>41596</v>
      </c>
      <c r="E276" s="382">
        <v>0</v>
      </c>
      <c r="F276" s="98">
        <v>12691</v>
      </c>
      <c r="G276" s="98">
        <v>13057</v>
      </c>
      <c r="H276" s="98">
        <v>13057</v>
      </c>
      <c r="I276" s="98">
        <v>13057</v>
      </c>
      <c r="J276" s="98"/>
    </row>
    <row r="277" spans="1:10" ht="14.25" hidden="1">
      <c r="A277" s="74" t="s">
        <v>862</v>
      </c>
      <c r="B277" s="10" t="s">
        <v>863</v>
      </c>
      <c r="C277" s="10" t="s">
        <v>724</v>
      </c>
      <c r="D277" s="98">
        <v>33085</v>
      </c>
      <c r="E277" s="382">
        <v>0</v>
      </c>
      <c r="F277" s="98">
        <v>11180</v>
      </c>
      <c r="G277" s="98">
        <v>10385</v>
      </c>
      <c r="H277" s="98">
        <v>10385</v>
      </c>
      <c r="I277" s="98">
        <v>10385</v>
      </c>
      <c r="J277" s="98"/>
    </row>
    <row r="278" spans="1:10" ht="14.25" hidden="1">
      <c r="A278" s="74" t="s">
        <v>864</v>
      </c>
      <c r="B278" s="10" t="s">
        <v>865</v>
      </c>
      <c r="C278" s="10" t="s">
        <v>724</v>
      </c>
      <c r="D278" s="98">
        <v>38102</v>
      </c>
      <c r="E278" s="382">
        <v>0</v>
      </c>
      <c r="F278" s="98">
        <v>12071</v>
      </c>
      <c r="G278" s="98">
        <v>11960</v>
      </c>
      <c r="H278" s="98">
        <v>11960</v>
      </c>
      <c r="I278" s="98">
        <v>11960</v>
      </c>
      <c r="J278" s="98"/>
    </row>
    <row r="279" spans="1:10" ht="14.25" hidden="1">
      <c r="A279" s="74" t="s">
        <v>866</v>
      </c>
      <c r="B279" s="10" t="s">
        <v>867</v>
      </c>
      <c r="C279" s="10" t="s">
        <v>724</v>
      </c>
      <c r="D279" s="98">
        <v>39454</v>
      </c>
      <c r="E279" s="382">
        <v>0</v>
      </c>
      <c r="F279" s="98">
        <v>12311</v>
      </c>
      <c r="G279" s="98">
        <v>12385</v>
      </c>
      <c r="H279" s="98">
        <v>12385</v>
      </c>
      <c r="I279" s="98">
        <v>12385</v>
      </c>
      <c r="J279" s="98"/>
    </row>
    <row r="280" spans="1:10" ht="14.25" hidden="1">
      <c r="A280" s="74" t="s">
        <v>868</v>
      </c>
      <c r="B280" s="10" t="s">
        <v>869</v>
      </c>
      <c r="C280" s="10" t="s">
        <v>724</v>
      </c>
      <c r="D280" s="98">
        <v>34260</v>
      </c>
      <c r="E280" s="382">
        <v>0</v>
      </c>
      <c r="F280" s="98">
        <v>11389</v>
      </c>
      <c r="G280" s="98">
        <v>10754</v>
      </c>
      <c r="H280" s="98">
        <v>10754</v>
      </c>
      <c r="I280" s="98">
        <v>10754</v>
      </c>
      <c r="J280" s="98"/>
    </row>
    <row r="281" spans="1:10" ht="14.25" hidden="1">
      <c r="A281" s="74" t="s">
        <v>870</v>
      </c>
      <c r="B281" s="10" t="s">
        <v>871</v>
      </c>
      <c r="C281" s="10" t="s">
        <v>724</v>
      </c>
      <c r="D281" s="98">
        <v>37330</v>
      </c>
      <c r="E281" s="382">
        <v>0</v>
      </c>
      <c r="F281" s="98">
        <v>11934</v>
      </c>
      <c r="G281" s="98">
        <v>11718</v>
      </c>
      <c r="H281" s="98">
        <v>11718</v>
      </c>
      <c r="I281" s="98">
        <v>11718</v>
      </c>
      <c r="J281" s="98"/>
    </row>
    <row r="282" spans="1:10" ht="14.25" hidden="1">
      <c r="A282" s="74" t="s">
        <v>872</v>
      </c>
      <c r="B282" s="10" t="s">
        <v>873</v>
      </c>
      <c r="C282" s="10" t="s">
        <v>724</v>
      </c>
      <c r="D282" s="98">
        <v>49138</v>
      </c>
      <c r="E282" s="382">
        <v>0</v>
      </c>
      <c r="F282" s="98">
        <v>14031</v>
      </c>
      <c r="G282" s="98">
        <v>15424</v>
      </c>
      <c r="H282" s="98">
        <v>15424</v>
      </c>
      <c r="I282" s="98">
        <v>15424</v>
      </c>
      <c r="J282" s="98"/>
    </row>
    <row r="283" spans="1:10" ht="14.25" hidden="1">
      <c r="A283" s="74" t="s">
        <v>874</v>
      </c>
      <c r="B283" s="10" t="s">
        <v>875</v>
      </c>
      <c r="C283" s="10" t="s">
        <v>724</v>
      </c>
      <c r="D283" s="98">
        <v>47060</v>
      </c>
      <c r="E283" s="382">
        <v>0</v>
      </c>
      <c r="F283" s="98">
        <v>13662</v>
      </c>
      <c r="G283" s="98">
        <v>14772</v>
      </c>
      <c r="H283" s="98">
        <v>14772</v>
      </c>
      <c r="I283" s="98">
        <v>14772</v>
      </c>
      <c r="J283" s="98"/>
    </row>
    <row r="284" spans="1:10" ht="14.25" hidden="1">
      <c r="A284" s="74" t="s">
        <v>876</v>
      </c>
      <c r="B284" s="10" t="s">
        <v>877</v>
      </c>
      <c r="C284" s="10" t="s">
        <v>724</v>
      </c>
      <c r="D284" s="98">
        <v>48706</v>
      </c>
      <c r="E284" s="382">
        <v>0</v>
      </c>
      <c r="F284" s="98">
        <v>13954</v>
      </c>
      <c r="G284" s="98">
        <v>15289</v>
      </c>
      <c r="H284" s="98">
        <v>15289</v>
      </c>
      <c r="I284" s="98">
        <v>15289</v>
      </c>
      <c r="J284" s="98"/>
    </row>
    <row r="285" spans="1:10" ht="14.25" hidden="1">
      <c r="A285" s="74" t="s">
        <v>878</v>
      </c>
      <c r="B285" s="10" t="s">
        <v>879</v>
      </c>
      <c r="C285" s="10" t="s">
        <v>724</v>
      </c>
      <c r="D285" s="98">
        <v>48706</v>
      </c>
      <c r="E285" s="382">
        <v>0</v>
      </c>
      <c r="F285" s="98">
        <v>13954</v>
      </c>
      <c r="G285" s="98">
        <v>15289</v>
      </c>
      <c r="H285" s="98">
        <v>15289</v>
      </c>
      <c r="I285" s="98">
        <v>15289</v>
      </c>
      <c r="J285" s="98"/>
    </row>
    <row r="286" spans="1:10" ht="14.25" hidden="1">
      <c r="A286" s="74" t="s">
        <v>880</v>
      </c>
      <c r="B286" s="10" t="s">
        <v>881</v>
      </c>
      <c r="C286" s="10" t="s">
        <v>724</v>
      </c>
      <c r="D286" s="98">
        <v>47434</v>
      </c>
      <c r="E286" s="382">
        <v>0</v>
      </c>
      <c r="F286" s="98">
        <v>13728</v>
      </c>
      <c r="G286" s="98">
        <v>14890</v>
      </c>
      <c r="H286" s="98">
        <v>14890</v>
      </c>
      <c r="I286" s="98">
        <v>14890</v>
      </c>
      <c r="J286" s="98"/>
    </row>
    <row r="287" spans="1:10" ht="14.25" hidden="1">
      <c r="A287" s="74" t="s">
        <v>882</v>
      </c>
      <c r="B287" s="10" t="s">
        <v>883</v>
      </c>
      <c r="C287" s="10" t="s">
        <v>724</v>
      </c>
      <c r="D287" s="98">
        <v>48706</v>
      </c>
      <c r="E287" s="382">
        <v>0</v>
      </c>
      <c r="F287" s="98">
        <v>13954</v>
      </c>
      <c r="G287" s="98">
        <v>15289</v>
      </c>
      <c r="H287" s="98">
        <v>15289</v>
      </c>
      <c r="I287" s="98">
        <v>15289</v>
      </c>
      <c r="J287" s="98"/>
    </row>
    <row r="288" spans="1:10" ht="14.25" hidden="1">
      <c r="A288" s="74" t="s">
        <v>884</v>
      </c>
      <c r="B288" s="10" t="s">
        <v>885</v>
      </c>
      <c r="C288" s="10" t="s">
        <v>724</v>
      </c>
      <c r="D288" s="98">
        <v>47060</v>
      </c>
      <c r="E288" s="382">
        <v>0</v>
      </c>
      <c r="F288" s="98">
        <v>13662</v>
      </c>
      <c r="G288" s="98">
        <v>14772</v>
      </c>
      <c r="H288" s="98">
        <v>14772</v>
      </c>
      <c r="I288" s="98">
        <v>14772</v>
      </c>
      <c r="J288" s="98"/>
    </row>
    <row r="289" spans="1:10" ht="14.25" hidden="1">
      <c r="A289" s="74" t="s">
        <v>886</v>
      </c>
      <c r="B289" s="10" t="s">
        <v>887</v>
      </c>
      <c r="C289" s="10" t="s">
        <v>724</v>
      </c>
      <c r="D289" s="98">
        <v>47882</v>
      </c>
      <c r="E289" s="382">
        <v>0</v>
      </c>
      <c r="F289" s="98">
        <v>13808</v>
      </c>
      <c r="G289" s="98">
        <v>15030</v>
      </c>
      <c r="H289" s="98">
        <v>15030</v>
      </c>
      <c r="I289" s="98">
        <v>15030</v>
      </c>
      <c r="J289" s="98"/>
    </row>
    <row r="290" spans="1:10" ht="14.25" hidden="1">
      <c r="A290" s="74" t="s">
        <v>888</v>
      </c>
      <c r="B290" s="10" t="s">
        <v>889</v>
      </c>
      <c r="C290" s="10" t="s">
        <v>724</v>
      </c>
      <c r="D290" s="98">
        <v>45452</v>
      </c>
      <c r="E290" s="382">
        <v>0</v>
      </c>
      <c r="F290" s="98">
        <v>13376</v>
      </c>
      <c r="G290" s="98">
        <v>14267</v>
      </c>
      <c r="H290" s="98">
        <v>14267</v>
      </c>
      <c r="I290" s="98">
        <v>14267</v>
      </c>
      <c r="J290" s="98"/>
    </row>
    <row r="291" spans="1:10" ht="14.25" hidden="1">
      <c r="A291" s="74" t="s">
        <v>890</v>
      </c>
      <c r="B291" s="10" t="s">
        <v>891</v>
      </c>
      <c r="C291" s="10" t="s">
        <v>724</v>
      </c>
      <c r="D291" s="98">
        <v>47435</v>
      </c>
      <c r="E291" s="382">
        <v>0</v>
      </c>
      <c r="F291" s="98">
        <v>13728</v>
      </c>
      <c r="G291" s="98">
        <v>14890</v>
      </c>
      <c r="H291" s="98">
        <v>14890</v>
      </c>
      <c r="I291" s="98">
        <v>14890</v>
      </c>
      <c r="J291" s="98"/>
    </row>
    <row r="292" spans="1:10" ht="14.25" hidden="1">
      <c r="A292" s="74" t="s">
        <v>892</v>
      </c>
      <c r="B292" s="10" t="s">
        <v>893</v>
      </c>
      <c r="C292" s="10" t="s">
        <v>724</v>
      </c>
      <c r="D292" s="98">
        <v>49080</v>
      </c>
      <c r="E292" s="382">
        <v>0</v>
      </c>
      <c r="F292" s="98">
        <v>14021</v>
      </c>
      <c r="G292" s="98">
        <v>15406</v>
      </c>
      <c r="H292" s="98">
        <v>15406</v>
      </c>
      <c r="I292" s="98">
        <v>15406</v>
      </c>
      <c r="J292" s="98"/>
    </row>
    <row r="293" spans="1:10" ht="14.25" hidden="1">
      <c r="A293" s="74" t="s">
        <v>894</v>
      </c>
      <c r="B293" s="10" t="s">
        <v>895</v>
      </c>
      <c r="C293" s="10" t="s">
        <v>724</v>
      </c>
      <c r="D293" s="98">
        <v>47810</v>
      </c>
      <c r="E293" s="382">
        <v>0</v>
      </c>
      <c r="F293" s="98">
        <v>13795</v>
      </c>
      <c r="G293" s="98">
        <v>15008</v>
      </c>
      <c r="H293" s="98">
        <v>15008</v>
      </c>
      <c r="I293" s="98">
        <v>15008</v>
      </c>
      <c r="J293" s="98"/>
    </row>
    <row r="294" spans="1:10" ht="14.25" hidden="1">
      <c r="A294" s="74" t="s">
        <v>896</v>
      </c>
      <c r="B294" s="10" t="s">
        <v>897</v>
      </c>
      <c r="C294" s="10" t="s">
        <v>724</v>
      </c>
      <c r="D294" s="98">
        <v>48046</v>
      </c>
      <c r="E294" s="382">
        <v>0</v>
      </c>
      <c r="F294" s="98">
        <v>13837</v>
      </c>
      <c r="G294" s="98">
        <v>15082</v>
      </c>
      <c r="H294" s="98">
        <v>15082</v>
      </c>
      <c r="I294" s="98">
        <v>15082</v>
      </c>
      <c r="J294" s="98"/>
    </row>
    <row r="295" spans="1:10" ht="14.25" hidden="1">
      <c r="A295" s="74" t="s">
        <v>898</v>
      </c>
      <c r="B295" s="10" t="s">
        <v>899</v>
      </c>
      <c r="C295" s="10" t="s">
        <v>724</v>
      </c>
      <c r="D295" s="98">
        <v>42316</v>
      </c>
      <c r="E295" s="382">
        <v>0</v>
      </c>
      <c r="F295" s="98">
        <v>12819</v>
      </c>
      <c r="G295" s="98">
        <v>13283</v>
      </c>
      <c r="H295" s="98">
        <v>13283</v>
      </c>
      <c r="I295" s="98">
        <v>13283</v>
      </c>
      <c r="J295" s="98"/>
    </row>
    <row r="296" spans="1:10" ht="14.25" hidden="1">
      <c r="A296" s="74" t="s">
        <v>900</v>
      </c>
      <c r="B296" s="10" t="s">
        <v>901</v>
      </c>
      <c r="C296" s="10" t="s">
        <v>724</v>
      </c>
      <c r="D296" s="98">
        <v>47060</v>
      </c>
      <c r="E296" s="382">
        <v>0</v>
      </c>
      <c r="F296" s="98">
        <v>13662</v>
      </c>
      <c r="G296" s="98">
        <v>14772</v>
      </c>
      <c r="H296" s="98">
        <v>14772</v>
      </c>
      <c r="I296" s="98">
        <v>14772</v>
      </c>
      <c r="J296" s="98"/>
    </row>
    <row r="297" spans="1:10" ht="14.25" hidden="1">
      <c r="A297" s="74" t="s">
        <v>902</v>
      </c>
      <c r="B297" s="10" t="s">
        <v>903</v>
      </c>
      <c r="C297" s="10" t="s">
        <v>724</v>
      </c>
      <c r="D297" s="98">
        <v>47732</v>
      </c>
      <c r="E297" s="382">
        <v>0</v>
      </c>
      <c r="F297" s="98">
        <v>13781</v>
      </c>
      <c r="G297" s="98">
        <v>14983</v>
      </c>
      <c r="H297" s="98">
        <v>14983</v>
      </c>
      <c r="I297" s="98">
        <v>14983</v>
      </c>
      <c r="J297" s="98"/>
    </row>
    <row r="298" spans="1:10" ht="14.25" hidden="1">
      <c r="A298" s="74" t="s">
        <v>904</v>
      </c>
      <c r="B298" s="10" t="s">
        <v>905</v>
      </c>
      <c r="C298" s="10" t="s">
        <v>724</v>
      </c>
      <c r="D298" s="98">
        <v>47060</v>
      </c>
      <c r="E298" s="382">
        <v>0</v>
      </c>
      <c r="F298" s="98">
        <v>13662</v>
      </c>
      <c r="G298" s="98">
        <v>14772</v>
      </c>
      <c r="H298" s="98">
        <v>14772</v>
      </c>
      <c r="I298" s="98">
        <v>14772</v>
      </c>
      <c r="J298" s="98"/>
    </row>
    <row r="299" spans="1:10" ht="14.25" hidden="1">
      <c r="A299" s="74" t="s">
        <v>906</v>
      </c>
      <c r="B299" s="10" t="s">
        <v>907</v>
      </c>
      <c r="C299" s="10" t="s">
        <v>724</v>
      </c>
      <c r="D299" s="98">
        <v>47060</v>
      </c>
      <c r="E299" s="382">
        <v>0</v>
      </c>
      <c r="F299" s="98">
        <v>13662</v>
      </c>
      <c r="G299" s="98">
        <v>14772</v>
      </c>
      <c r="H299" s="98">
        <v>14772</v>
      </c>
      <c r="I299" s="98">
        <v>14772</v>
      </c>
      <c r="J299" s="98"/>
    </row>
    <row r="300" spans="1:10" ht="14.25" hidden="1">
      <c r="A300" s="74" t="s">
        <v>908</v>
      </c>
      <c r="B300" s="10" t="s">
        <v>909</v>
      </c>
      <c r="C300" s="10" t="s">
        <v>724</v>
      </c>
      <c r="D300" s="98">
        <v>52272</v>
      </c>
      <c r="E300" s="382">
        <v>0</v>
      </c>
      <c r="F300" s="98">
        <v>14588</v>
      </c>
      <c r="G300" s="98">
        <v>16408</v>
      </c>
      <c r="H300" s="98">
        <v>16408</v>
      </c>
      <c r="I300" s="98">
        <v>16408</v>
      </c>
      <c r="J300" s="98"/>
    </row>
    <row r="301" spans="1:10" ht="14.25" hidden="1">
      <c r="A301" s="74" t="s">
        <v>910</v>
      </c>
      <c r="B301" s="10" t="s">
        <v>911</v>
      </c>
      <c r="C301" s="10" t="s">
        <v>724</v>
      </c>
      <c r="D301" s="98">
        <v>54914</v>
      </c>
      <c r="E301" s="382">
        <v>0</v>
      </c>
      <c r="F301" s="98">
        <v>15057</v>
      </c>
      <c r="G301" s="98">
        <v>17238</v>
      </c>
      <c r="H301" s="98">
        <v>17238</v>
      </c>
      <c r="I301" s="98">
        <v>17238</v>
      </c>
      <c r="J301" s="98"/>
    </row>
    <row r="302" spans="1:10" ht="14.25" hidden="1">
      <c r="A302" s="74" t="s">
        <v>912</v>
      </c>
      <c r="B302" s="10" t="s">
        <v>913</v>
      </c>
      <c r="C302" s="10" t="s">
        <v>724</v>
      </c>
      <c r="D302" s="98">
        <v>52900</v>
      </c>
      <c r="E302" s="382">
        <v>0</v>
      </c>
      <c r="F302" s="98">
        <v>14699</v>
      </c>
      <c r="G302" s="98">
        <v>16605</v>
      </c>
      <c r="H302" s="98">
        <v>16605</v>
      </c>
      <c r="I302" s="98">
        <v>16605</v>
      </c>
      <c r="J302" s="98"/>
    </row>
    <row r="303" spans="1:10" ht="14.25" hidden="1">
      <c r="A303" s="74" t="s">
        <v>914</v>
      </c>
      <c r="B303" s="10" t="s">
        <v>915</v>
      </c>
      <c r="C303" s="10" t="s">
        <v>724</v>
      </c>
      <c r="D303" s="98">
        <v>55502</v>
      </c>
      <c r="E303" s="382">
        <v>0</v>
      </c>
      <c r="F303" s="98">
        <v>15161</v>
      </c>
      <c r="G303" s="98">
        <v>17422</v>
      </c>
      <c r="H303" s="98">
        <v>17422</v>
      </c>
      <c r="I303" s="98">
        <v>17422</v>
      </c>
      <c r="J303" s="98"/>
    </row>
    <row r="304" spans="1:10" ht="14.25" hidden="1">
      <c r="A304" s="74" t="s">
        <v>916</v>
      </c>
      <c r="B304" s="10" t="s">
        <v>917</v>
      </c>
      <c r="C304" s="10" t="s">
        <v>724</v>
      </c>
      <c r="D304" s="98">
        <v>55350</v>
      </c>
      <c r="E304" s="382">
        <v>0</v>
      </c>
      <c r="F304" s="98">
        <v>15134</v>
      </c>
      <c r="G304" s="98">
        <v>17374</v>
      </c>
      <c r="H304" s="98">
        <v>17374</v>
      </c>
      <c r="I304" s="98">
        <v>17374</v>
      </c>
      <c r="J304" s="98"/>
    </row>
    <row r="305" spans="1:10" ht="14.25" hidden="1">
      <c r="A305" s="74" t="s">
        <v>918</v>
      </c>
      <c r="B305" s="10" t="s">
        <v>919</v>
      </c>
      <c r="C305" s="10" t="s">
        <v>724</v>
      </c>
      <c r="D305" s="98">
        <v>54154</v>
      </c>
      <c r="E305" s="382">
        <v>0</v>
      </c>
      <c r="F305" s="98">
        <v>14922</v>
      </c>
      <c r="G305" s="98">
        <v>16999</v>
      </c>
      <c r="H305" s="98">
        <v>16999</v>
      </c>
      <c r="I305" s="98">
        <v>16999</v>
      </c>
      <c r="J305" s="98"/>
    </row>
    <row r="306" spans="1:10" ht="14.25" hidden="1">
      <c r="A306" s="74" t="s">
        <v>920</v>
      </c>
      <c r="B306" s="10" t="s">
        <v>921</v>
      </c>
      <c r="C306" s="10" t="s">
        <v>724</v>
      </c>
      <c r="D306" s="98">
        <v>55616</v>
      </c>
      <c r="E306" s="382">
        <v>0</v>
      </c>
      <c r="F306" s="98">
        <v>15181</v>
      </c>
      <c r="G306" s="98">
        <v>17458</v>
      </c>
      <c r="H306" s="98">
        <v>17458</v>
      </c>
      <c r="I306" s="98">
        <v>17458</v>
      </c>
      <c r="J306" s="98"/>
    </row>
    <row r="307" spans="1:10" ht="14.25" hidden="1">
      <c r="A307" s="74" t="s">
        <v>922</v>
      </c>
      <c r="B307" s="10" t="s">
        <v>923</v>
      </c>
      <c r="C307" s="10" t="s">
        <v>724</v>
      </c>
      <c r="D307" s="98">
        <v>52273</v>
      </c>
      <c r="E307" s="382">
        <v>0</v>
      </c>
      <c r="F307" s="98">
        <v>14588</v>
      </c>
      <c r="G307" s="98">
        <v>16408</v>
      </c>
      <c r="H307" s="98">
        <v>16408</v>
      </c>
      <c r="I307" s="98">
        <v>16408</v>
      </c>
      <c r="J307" s="98"/>
    </row>
    <row r="308" spans="1:10" ht="14.25" hidden="1">
      <c r="A308" s="74" t="s">
        <v>924</v>
      </c>
      <c r="B308" s="10" t="s">
        <v>925</v>
      </c>
      <c r="C308" s="10" t="s">
        <v>724</v>
      </c>
      <c r="D308" s="98">
        <v>50450</v>
      </c>
      <c r="E308" s="382">
        <v>0</v>
      </c>
      <c r="F308" s="98">
        <v>14264</v>
      </c>
      <c r="G308" s="98">
        <v>15836</v>
      </c>
      <c r="H308" s="98">
        <v>15836</v>
      </c>
      <c r="I308" s="98">
        <v>15836</v>
      </c>
      <c r="J308" s="98"/>
    </row>
    <row r="309" spans="1:10" ht="14.25" hidden="1">
      <c r="A309" s="74" t="s">
        <v>926</v>
      </c>
      <c r="B309" s="10" t="s">
        <v>927</v>
      </c>
      <c r="C309" s="10" t="s">
        <v>724</v>
      </c>
      <c r="D309" s="98">
        <v>51516</v>
      </c>
      <c r="E309" s="382">
        <v>0</v>
      </c>
      <c r="F309" s="98">
        <v>14453</v>
      </c>
      <c r="G309" s="98">
        <v>16171</v>
      </c>
      <c r="H309" s="98">
        <v>16171</v>
      </c>
      <c r="I309" s="98">
        <v>16171</v>
      </c>
      <c r="J309" s="98"/>
    </row>
    <row r="310" spans="1:10" ht="14.25" hidden="1">
      <c r="A310" s="74" t="s">
        <v>928</v>
      </c>
      <c r="B310" s="10" t="s">
        <v>929</v>
      </c>
      <c r="C310" s="10" t="s">
        <v>724</v>
      </c>
      <c r="D310" s="98">
        <v>52490</v>
      </c>
      <c r="E310" s="382">
        <v>0</v>
      </c>
      <c r="F310" s="98">
        <v>14626</v>
      </c>
      <c r="G310" s="98">
        <v>16477</v>
      </c>
      <c r="H310" s="98">
        <v>16477</v>
      </c>
      <c r="I310" s="98">
        <v>16477</v>
      </c>
      <c r="J310" s="98"/>
    </row>
    <row r="311" spans="1:10" ht="14.25" hidden="1">
      <c r="A311" s="74" t="s">
        <v>930</v>
      </c>
      <c r="B311" s="10" t="s">
        <v>931</v>
      </c>
      <c r="C311" s="10" t="s">
        <v>724</v>
      </c>
      <c r="D311" s="98">
        <v>55120</v>
      </c>
      <c r="E311" s="382">
        <v>0</v>
      </c>
      <c r="F311" s="98">
        <v>15093</v>
      </c>
      <c r="G311" s="98">
        <v>17302</v>
      </c>
      <c r="H311" s="98">
        <v>17302</v>
      </c>
      <c r="I311" s="98">
        <v>17302</v>
      </c>
      <c r="J311" s="98"/>
    </row>
    <row r="312" spans="1:10" ht="14.25" hidden="1">
      <c r="A312" s="74" t="s">
        <v>932</v>
      </c>
      <c r="B312" s="10" t="s">
        <v>933</v>
      </c>
      <c r="C312" s="10" t="s">
        <v>724</v>
      </c>
      <c r="D312" s="98">
        <v>50450</v>
      </c>
      <c r="E312" s="382">
        <v>0</v>
      </c>
      <c r="F312" s="98">
        <v>14264</v>
      </c>
      <c r="G312" s="98">
        <v>15836</v>
      </c>
      <c r="H312" s="98">
        <v>15836</v>
      </c>
      <c r="I312" s="98">
        <v>15836</v>
      </c>
      <c r="J312" s="98"/>
    </row>
    <row r="313" spans="1:10" ht="14.25" hidden="1">
      <c r="A313" s="74" t="s">
        <v>934</v>
      </c>
      <c r="B313" s="10" t="s">
        <v>935</v>
      </c>
      <c r="C313" s="10" t="s">
        <v>724</v>
      </c>
      <c r="D313" s="98">
        <v>53172</v>
      </c>
      <c r="E313" s="382">
        <v>0</v>
      </c>
      <c r="F313" s="98">
        <v>14747</v>
      </c>
      <c r="G313" s="98">
        <v>16691</v>
      </c>
      <c r="H313" s="98">
        <v>16691</v>
      </c>
      <c r="I313" s="98">
        <v>16691</v>
      </c>
      <c r="J313" s="98"/>
    </row>
    <row r="314" spans="1:10" ht="14.25" hidden="1">
      <c r="A314" s="74" t="s">
        <v>936</v>
      </c>
      <c r="B314" s="10" t="s">
        <v>937</v>
      </c>
      <c r="C314" s="10" t="s">
        <v>724</v>
      </c>
      <c r="D314" s="98">
        <v>52648</v>
      </c>
      <c r="E314" s="382">
        <v>0</v>
      </c>
      <c r="F314" s="98">
        <v>14654</v>
      </c>
      <c r="G314" s="98">
        <v>16526</v>
      </c>
      <c r="H314" s="98">
        <v>16526</v>
      </c>
      <c r="I314" s="98">
        <v>16526</v>
      </c>
      <c r="J314" s="98"/>
    </row>
    <row r="315" spans="1:10" ht="14.25" hidden="1">
      <c r="A315" s="74" t="s">
        <v>938</v>
      </c>
      <c r="B315" s="10" t="s">
        <v>939</v>
      </c>
      <c r="C315" s="10" t="s">
        <v>724</v>
      </c>
      <c r="D315" s="98">
        <v>53622</v>
      </c>
      <c r="E315" s="382">
        <v>0</v>
      </c>
      <c r="F315" s="98">
        <v>14827</v>
      </c>
      <c r="G315" s="98">
        <v>16832</v>
      </c>
      <c r="H315" s="98">
        <v>16832</v>
      </c>
      <c r="I315" s="98">
        <v>16832</v>
      </c>
      <c r="J315" s="98"/>
    </row>
    <row r="316" spans="1:10" ht="14.25" hidden="1">
      <c r="A316" s="74" t="s">
        <v>940</v>
      </c>
      <c r="B316" s="10" t="s">
        <v>941</v>
      </c>
      <c r="C316" s="10" t="s">
        <v>724</v>
      </c>
      <c r="D316" s="98">
        <v>51200</v>
      </c>
      <c r="E316" s="382">
        <v>0</v>
      </c>
      <c r="F316" s="98">
        <v>14397</v>
      </c>
      <c r="G316" s="98">
        <v>16072</v>
      </c>
      <c r="H316" s="98">
        <v>16072</v>
      </c>
      <c r="I316" s="98">
        <v>16072</v>
      </c>
      <c r="J316" s="98"/>
    </row>
    <row r="317" spans="1:10" ht="14.25" hidden="1">
      <c r="A317" s="74" t="s">
        <v>942</v>
      </c>
      <c r="B317" s="10" t="s">
        <v>943</v>
      </c>
      <c r="C317" s="10" t="s">
        <v>724</v>
      </c>
      <c r="D317" s="98">
        <v>51200</v>
      </c>
      <c r="E317" s="382">
        <v>0</v>
      </c>
      <c r="F317" s="98">
        <v>14397</v>
      </c>
      <c r="G317" s="98">
        <v>16072</v>
      </c>
      <c r="H317" s="98">
        <v>16072</v>
      </c>
      <c r="I317" s="98">
        <v>16072</v>
      </c>
      <c r="J317" s="98"/>
    </row>
    <row r="318" spans="1:10" ht="14.25" hidden="1">
      <c r="A318" s="74" t="s">
        <v>944</v>
      </c>
      <c r="B318" s="10" t="s">
        <v>945</v>
      </c>
      <c r="C318" s="10" t="s">
        <v>724</v>
      </c>
      <c r="D318" s="98">
        <v>51200</v>
      </c>
      <c r="E318" s="382">
        <v>0</v>
      </c>
      <c r="F318" s="98">
        <v>14397</v>
      </c>
      <c r="G318" s="98">
        <v>16072</v>
      </c>
      <c r="H318" s="98">
        <v>16072</v>
      </c>
      <c r="I318" s="98">
        <v>16072</v>
      </c>
      <c r="J318" s="98"/>
    </row>
    <row r="319" spans="1:10" ht="14.25" hidden="1">
      <c r="A319" s="74" t="s">
        <v>946</v>
      </c>
      <c r="B319" s="10" t="s">
        <v>947</v>
      </c>
      <c r="C319" s="10" t="s">
        <v>724</v>
      </c>
      <c r="D319" s="98">
        <v>54270</v>
      </c>
      <c r="E319" s="382">
        <v>0</v>
      </c>
      <c r="F319" s="98">
        <v>14942</v>
      </c>
      <c r="G319" s="98">
        <v>17035</v>
      </c>
      <c r="H319" s="98">
        <v>17035</v>
      </c>
      <c r="I319" s="98">
        <v>17035</v>
      </c>
      <c r="J319" s="98"/>
    </row>
    <row r="320" spans="1:10" ht="14.25" hidden="1">
      <c r="A320" s="74" t="s">
        <v>948</v>
      </c>
      <c r="B320" s="10" t="s">
        <v>949</v>
      </c>
      <c r="C320" s="10" t="s">
        <v>724</v>
      </c>
      <c r="D320" s="98">
        <v>50824</v>
      </c>
      <c r="E320" s="382">
        <v>0</v>
      </c>
      <c r="F320" s="98">
        <v>14330</v>
      </c>
      <c r="G320" s="98">
        <v>15954</v>
      </c>
      <c r="H320" s="98">
        <v>15954</v>
      </c>
      <c r="I320" s="98">
        <v>15954</v>
      </c>
      <c r="J320" s="98"/>
    </row>
    <row r="321" spans="1:10" ht="14.25" hidden="1">
      <c r="A321" s="74" t="s">
        <v>950</v>
      </c>
      <c r="B321" s="10" t="s">
        <v>951</v>
      </c>
      <c r="C321" s="10" t="s">
        <v>724</v>
      </c>
      <c r="D321" s="98">
        <v>52000</v>
      </c>
      <c r="E321" s="382">
        <v>0</v>
      </c>
      <c r="F321" s="98">
        <v>14539</v>
      </c>
      <c r="G321" s="98">
        <v>16323</v>
      </c>
      <c r="H321" s="98">
        <v>16323</v>
      </c>
      <c r="I321" s="98">
        <v>16323</v>
      </c>
      <c r="J321" s="98"/>
    </row>
    <row r="322" spans="1:10" ht="14.25" hidden="1">
      <c r="A322" s="74" t="s">
        <v>952</v>
      </c>
      <c r="B322" s="10" t="s">
        <v>953</v>
      </c>
      <c r="C322" s="10" t="s">
        <v>724</v>
      </c>
      <c r="D322" s="98">
        <v>51200</v>
      </c>
      <c r="E322" s="382">
        <v>0</v>
      </c>
      <c r="F322" s="98">
        <v>14397</v>
      </c>
      <c r="G322" s="98">
        <v>16072</v>
      </c>
      <c r="H322" s="98">
        <v>16072</v>
      </c>
      <c r="I322" s="98">
        <v>16072</v>
      </c>
      <c r="J322" s="98"/>
    </row>
    <row r="323" spans="1:10" ht="14.25" hidden="1">
      <c r="A323" s="74" t="s">
        <v>954</v>
      </c>
      <c r="B323" s="10" t="s">
        <v>955</v>
      </c>
      <c r="C323" s="10" t="s">
        <v>724</v>
      </c>
      <c r="D323" s="98">
        <v>50824</v>
      </c>
      <c r="E323" s="382">
        <v>0</v>
      </c>
      <c r="F323" s="98">
        <v>14330</v>
      </c>
      <c r="G323" s="98">
        <v>15954</v>
      </c>
      <c r="H323" s="98">
        <v>15954</v>
      </c>
      <c r="I323" s="98">
        <v>15954</v>
      </c>
      <c r="J323" s="98"/>
    </row>
    <row r="324" spans="1:10" ht="14.25" hidden="1">
      <c r="A324" s="74" t="s">
        <v>956</v>
      </c>
      <c r="B324" s="10" t="s">
        <v>957</v>
      </c>
      <c r="C324" s="10" t="s">
        <v>724</v>
      </c>
      <c r="D324" s="98">
        <v>50450</v>
      </c>
      <c r="E324" s="382">
        <v>0</v>
      </c>
      <c r="F324" s="98">
        <v>14264</v>
      </c>
      <c r="G324" s="98">
        <v>15836</v>
      </c>
      <c r="H324" s="98">
        <v>15836</v>
      </c>
      <c r="I324" s="98">
        <v>15836</v>
      </c>
      <c r="J324" s="98"/>
    </row>
    <row r="325" spans="1:10" ht="14.25" hidden="1">
      <c r="A325" s="74" t="s">
        <v>958</v>
      </c>
      <c r="B325" s="10" t="s">
        <v>959</v>
      </c>
      <c r="C325" s="10" t="s">
        <v>724</v>
      </c>
      <c r="D325" s="98">
        <v>50450</v>
      </c>
      <c r="E325" s="382">
        <v>0</v>
      </c>
      <c r="F325" s="98">
        <v>14264</v>
      </c>
      <c r="G325" s="98">
        <v>15836</v>
      </c>
      <c r="H325" s="98">
        <v>15836</v>
      </c>
      <c r="I325" s="98">
        <v>15836</v>
      </c>
      <c r="J325" s="98"/>
    </row>
    <row r="326" spans="1:10" ht="14.25" hidden="1">
      <c r="A326" s="74" t="s">
        <v>960</v>
      </c>
      <c r="B326" s="10" t="s">
        <v>961</v>
      </c>
      <c r="C326" s="10" t="s">
        <v>724</v>
      </c>
      <c r="D326" s="98">
        <v>53022</v>
      </c>
      <c r="E326" s="382">
        <v>0</v>
      </c>
      <c r="F326" s="98">
        <v>14721</v>
      </c>
      <c r="G326" s="98">
        <v>16644</v>
      </c>
      <c r="H326" s="98">
        <v>16644</v>
      </c>
      <c r="I326" s="98">
        <v>16644</v>
      </c>
      <c r="J326" s="98"/>
    </row>
    <row r="327" spans="1:10" ht="14.25" hidden="1">
      <c r="A327" s="74" t="s">
        <v>962</v>
      </c>
      <c r="B327" s="10" t="s">
        <v>963</v>
      </c>
      <c r="C327" s="10" t="s">
        <v>724</v>
      </c>
      <c r="D327" s="98">
        <v>51950</v>
      </c>
      <c r="E327" s="382">
        <v>0</v>
      </c>
      <c r="F327" s="98">
        <v>14530</v>
      </c>
      <c r="G327" s="98">
        <v>16307</v>
      </c>
      <c r="H327" s="98">
        <v>16307</v>
      </c>
      <c r="I327" s="98">
        <v>16307</v>
      </c>
      <c r="J327" s="98"/>
    </row>
    <row r="328" spans="1:10" ht="14.25" hidden="1">
      <c r="A328" s="74" t="s">
        <v>964</v>
      </c>
      <c r="B328" s="10" t="s">
        <v>965</v>
      </c>
      <c r="C328" s="10" t="s">
        <v>724</v>
      </c>
      <c r="D328" s="98">
        <v>50824</v>
      </c>
      <c r="E328" s="382">
        <v>0</v>
      </c>
      <c r="F328" s="98">
        <v>14330</v>
      </c>
      <c r="G328" s="98">
        <v>15954</v>
      </c>
      <c r="H328" s="98">
        <v>15954</v>
      </c>
      <c r="I328" s="98">
        <v>15954</v>
      </c>
      <c r="J328" s="98"/>
    </row>
    <row r="329" spans="1:10" ht="14.25" hidden="1">
      <c r="A329" s="74" t="s">
        <v>966</v>
      </c>
      <c r="B329" s="10" t="s">
        <v>967</v>
      </c>
      <c r="C329" s="10" t="s">
        <v>724</v>
      </c>
      <c r="D329" s="98">
        <v>53772</v>
      </c>
      <c r="E329" s="382">
        <v>0</v>
      </c>
      <c r="F329" s="98">
        <v>14854</v>
      </c>
      <c r="G329" s="98">
        <v>16879</v>
      </c>
      <c r="H329" s="98">
        <v>16879</v>
      </c>
      <c r="I329" s="98">
        <v>16879</v>
      </c>
      <c r="J329" s="98"/>
    </row>
    <row r="330" spans="1:10" ht="14.25" hidden="1">
      <c r="A330" s="74" t="s">
        <v>968</v>
      </c>
      <c r="B330" s="10" t="s">
        <v>969</v>
      </c>
      <c r="C330" s="10" t="s">
        <v>400</v>
      </c>
      <c r="D330" s="98">
        <v>27142</v>
      </c>
      <c r="E330" s="382">
        <v>0</v>
      </c>
      <c r="F330" s="98">
        <v>9329</v>
      </c>
      <c r="G330" s="98">
        <v>8520</v>
      </c>
      <c r="H330" s="98">
        <v>8520</v>
      </c>
      <c r="I330" s="98">
        <v>8520</v>
      </c>
      <c r="J330" s="98"/>
    </row>
    <row r="331" spans="1:10" ht="14.25" hidden="1">
      <c r="A331" s="74" t="s">
        <v>970</v>
      </c>
      <c r="B331" s="10" t="s">
        <v>971</v>
      </c>
      <c r="C331" s="10" t="s">
        <v>400</v>
      </c>
      <c r="D331" s="98">
        <v>28634</v>
      </c>
      <c r="E331" s="382">
        <v>0</v>
      </c>
      <c r="F331" s="98">
        <v>9594</v>
      </c>
      <c r="G331" s="98">
        <v>8988</v>
      </c>
      <c r="H331" s="98">
        <v>8988</v>
      </c>
      <c r="I331" s="98">
        <v>8988</v>
      </c>
      <c r="J331" s="98"/>
    </row>
    <row r="332" spans="1:10" ht="14.25" hidden="1">
      <c r="A332" s="74" t="s">
        <v>972</v>
      </c>
      <c r="B332" s="10" t="s">
        <v>973</v>
      </c>
      <c r="C332" s="10" t="s">
        <v>400</v>
      </c>
      <c r="D332" s="98">
        <v>22304</v>
      </c>
      <c r="E332" s="382">
        <v>0</v>
      </c>
      <c r="F332" s="98">
        <v>8470</v>
      </c>
      <c r="G332" s="98">
        <v>7001</v>
      </c>
      <c r="H332" s="98">
        <v>7001</v>
      </c>
      <c r="I332" s="98">
        <v>7001</v>
      </c>
      <c r="J332" s="98"/>
    </row>
    <row r="333" spans="1:10" ht="14.25" hidden="1">
      <c r="A333" s="74" t="s">
        <v>974</v>
      </c>
      <c r="B333" s="10" t="s">
        <v>975</v>
      </c>
      <c r="C333" s="10" t="s">
        <v>446</v>
      </c>
      <c r="D333" s="98">
        <v>65656</v>
      </c>
      <c r="E333" s="382">
        <v>0</v>
      </c>
      <c r="F333" s="98">
        <v>15497</v>
      </c>
      <c r="G333" s="98">
        <v>20609</v>
      </c>
      <c r="H333" s="98">
        <v>20609</v>
      </c>
      <c r="I333" s="98">
        <v>20609</v>
      </c>
      <c r="J333" s="98"/>
    </row>
    <row r="334" spans="1:10" ht="14.25" hidden="1">
      <c r="A334" s="74" t="s">
        <v>976</v>
      </c>
      <c r="B334" s="10" t="s">
        <v>977</v>
      </c>
      <c r="C334" s="10" t="s">
        <v>377</v>
      </c>
      <c r="D334" s="98">
        <v>72170</v>
      </c>
      <c r="E334" s="382">
        <v>0</v>
      </c>
      <c r="F334" s="98">
        <v>16607</v>
      </c>
      <c r="G334" s="98">
        <v>22654</v>
      </c>
      <c r="H334" s="98">
        <v>22654</v>
      </c>
      <c r="I334" s="98">
        <v>22654</v>
      </c>
      <c r="J334" s="98"/>
    </row>
    <row r="335" spans="1:10" ht="14.25" hidden="1">
      <c r="A335" s="74" t="s">
        <v>978</v>
      </c>
      <c r="B335" s="10" t="s">
        <v>979</v>
      </c>
      <c r="C335" s="10" t="s">
        <v>446</v>
      </c>
      <c r="D335" s="98">
        <v>44080</v>
      </c>
      <c r="E335" s="382">
        <v>0</v>
      </c>
      <c r="F335" s="98">
        <v>11665</v>
      </c>
      <c r="G335" s="98">
        <v>13837</v>
      </c>
      <c r="H335" s="98">
        <v>13837</v>
      </c>
      <c r="I335" s="98">
        <v>13837</v>
      </c>
      <c r="J335" s="98"/>
    </row>
    <row r="336" spans="1:10" ht="14.25" hidden="1">
      <c r="A336" s="74" t="s">
        <v>980</v>
      </c>
      <c r="B336" s="10" t="s">
        <v>981</v>
      </c>
      <c r="C336" s="10" t="s">
        <v>724</v>
      </c>
      <c r="D336" s="98">
        <v>32000</v>
      </c>
      <c r="E336" s="382">
        <v>0</v>
      </c>
      <c r="F336" s="98">
        <v>10987</v>
      </c>
      <c r="G336" s="98">
        <v>10045</v>
      </c>
      <c r="H336" s="98">
        <v>10045</v>
      </c>
      <c r="I336" s="98">
        <v>10045</v>
      </c>
      <c r="J336" s="98"/>
    </row>
    <row r="337" spans="1:10" ht="14.25" hidden="1">
      <c r="A337" s="74" t="s">
        <v>982</v>
      </c>
      <c r="B337" s="10" t="s">
        <v>983</v>
      </c>
      <c r="C337" s="10" t="s">
        <v>724</v>
      </c>
      <c r="D337" s="98">
        <v>35514</v>
      </c>
      <c r="E337" s="382">
        <v>0</v>
      </c>
      <c r="F337" s="98">
        <v>11611</v>
      </c>
      <c r="G337" s="98">
        <v>11148</v>
      </c>
      <c r="H337" s="98">
        <v>11148</v>
      </c>
      <c r="I337" s="98">
        <v>11148</v>
      </c>
      <c r="J337" s="98"/>
    </row>
    <row r="338" spans="1:10" ht="14.25" hidden="1">
      <c r="A338" s="74" t="s">
        <v>984</v>
      </c>
      <c r="B338" s="10" t="s">
        <v>985</v>
      </c>
      <c r="C338" s="10" t="s">
        <v>724</v>
      </c>
      <c r="D338" s="98">
        <v>26012</v>
      </c>
      <c r="E338" s="382">
        <v>0</v>
      </c>
      <c r="F338" s="98">
        <v>9924</v>
      </c>
      <c r="G338" s="98">
        <v>8165</v>
      </c>
      <c r="H338" s="98">
        <v>8165</v>
      </c>
      <c r="I338" s="98">
        <v>8165</v>
      </c>
      <c r="J338" s="98"/>
    </row>
    <row r="339" spans="1:10" ht="14.25" hidden="1">
      <c r="A339" s="74" t="s">
        <v>986</v>
      </c>
      <c r="B339" s="10" t="s">
        <v>987</v>
      </c>
      <c r="C339" s="10" t="s">
        <v>446</v>
      </c>
      <c r="D339" s="98">
        <v>71214</v>
      </c>
      <c r="E339" s="382">
        <v>0</v>
      </c>
      <c r="F339" s="98">
        <v>16484</v>
      </c>
      <c r="G339" s="98">
        <v>22354</v>
      </c>
      <c r="H339" s="98">
        <v>22354</v>
      </c>
      <c r="I339" s="98">
        <v>22354</v>
      </c>
      <c r="J339" s="98"/>
    </row>
    <row r="340" spans="1:10" ht="14.25" hidden="1">
      <c r="A340" s="74" t="s">
        <v>988</v>
      </c>
      <c r="B340" s="10" t="s">
        <v>989</v>
      </c>
      <c r="C340" s="10" t="s">
        <v>446</v>
      </c>
      <c r="D340" s="98">
        <v>66650</v>
      </c>
      <c r="E340" s="382">
        <v>0</v>
      </c>
      <c r="F340" s="98">
        <v>15673</v>
      </c>
      <c r="G340" s="98">
        <v>20921</v>
      </c>
      <c r="H340" s="98">
        <v>20921</v>
      </c>
      <c r="I340" s="98">
        <v>20921</v>
      </c>
      <c r="J340" s="98"/>
    </row>
    <row r="341" spans="1:10" ht="14.25" hidden="1">
      <c r="A341" s="74" t="s">
        <v>990</v>
      </c>
      <c r="B341" s="10" t="s">
        <v>991</v>
      </c>
      <c r="C341" s="10" t="s">
        <v>446</v>
      </c>
      <c r="D341" s="98">
        <v>30336</v>
      </c>
      <c r="E341" s="382">
        <v>0</v>
      </c>
      <c r="F341" s="98">
        <v>9224</v>
      </c>
      <c r="G341" s="98">
        <v>9522</v>
      </c>
      <c r="H341" s="98">
        <v>9522</v>
      </c>
      <c r="I341" s="98">
        <v>9522</v>
      </c>
      <c r="J341" s="98"/>
    </row>
    <row r="342" spans="1:10" ht="14.25" hidden="1">
      <c r="A342" s="74" t="s">
        <v>992</v>
      </c>
      <c r="B342" s="10" t="s">
        <v>993</v>
      </c>
      <c r="C342" s="10" t="s">
        <v>446</v>
      </c>
      <c r="D342" s="98">
        <v>54834</v>
      </c>
      <c r="E342" s="382">
        <v>0</v>
      </c>
      <c r="F342" s="98">
        <v>13575</v>
      </c>
      <c r="G342" s="98">
        <v>17212</v>
      </c>
      <c r="H342" s="98">
        <v>17212</v>
      </c>
      <c r="I342" s="98">
        <v>17212</v>
      </c>
      <c r="J342" s="98"/>
    </row>
    <row r="343" spans="1:10" ht="14.25" hidden="1">
      <c r="A343" s="74" t="s">
        <v>994</v>
      </c>
      <c r="B343" s="10" t="s">
        <v>995</v>
      </c>
      <c r="C343" s="10" t="s">
        <v>446</v>
      </c>
      <c r="D343" s="98">
        <v>70266</v>
      </c>
      <c r="E343" s="382">
        <v>0</v>
      </c>
      <c r="F343" s="98">
        <v>16315</v>
      </c>
      <c r="G343" s="98">
        <v>22056</v>
      </c>
      <c r="H343" s="98">
        <v>22056</v>
      </c>
      <c r="I343" s="98">
        <v>22056</v>
      </c>
      <c r="J343" s="98"/>
    </row>
    <row r="344" spans="1:10" ht="14.25" hidden="1">
      <c r="A344" s="74" t="s">
        <v>996</v>
      </c>
      <c r="B344" s="10" t="s">
        <v>997</v>
      </c>
      <c r="C344" s="10" t="s">
        <v>446</v>
      </c>
      <c r="D344" s="98">
        <v>23920</v>
      </c>
      <c r="E344" s="382">
        <v>0</v>
      </c>
      <c r="F344" s="98">
        <v>8084</v>
      </c>
      <c r="G344" s="98">
        <v>7508</v>
      </c>
      <c r="H344" s="98">
        <v>7508</v>
      </c>
      <c r="I344" s="98">
        <v>7508</v>
      </c>
      <c r="J344" s="98"/>
    </row>
    <row r="345" spans="1:10" ht="14.25" hidden="1">
      <c r="A345" s="74" t="s">
        <v>998</v>
      </c>
      <c r="B345" s="10" t="s">
        <v>999</v>
      </c>
      <c r="C345" s="10" t="s">
        <v>446</v>
      </c>
      <c r="D345" s="98">
        <v>40286</v>
      </c>
      <c r="E345" s="382">
        <v>0</v>
      </c>
      <c r="F345" s="98">
        <v>10991</v>
      </c>
      <c r="G345" s="98">
        <v>12646</v>
      </c>
      <c r="H345" s="98">
        <v>12646</v>
      </c>
      <c r="I345" s="98">
        <v>12646</v>
      </c>
      <c r="J345" s="98"/>
    </row>
    <row r="346" spans="1:10" ht="14.25" hidden="1">
      <c r="A346" s="74" t="s">
        <v>1000</v>
      </c>
      <c r="B346" s="10" t="s">
        <v>1001</v>
      </c>
      <c r="C346" s="10" t="s">
        <v>446</v>
      </c>
      <c r="D346" s="98">
        <v>43290</v>
      </c>
      <c r="E346" s="382">
        <v>0</v>
      </c>
      <c r="F346" s="98">
        <v>11524</v>
      </c>
      <c r="G346" s="98">
        <v>13589</v>
      </c>
      <c r="H346" s="98">
        <v>13589</v>
      </c>
      <c r="I346" s="98">
        <v>13589</v>
      </c>
      <c r="J346" s="98"/>
    </row>
    <row r="347" spans="1:10" ht="14.25" hidden="1">
      <c r="A347" s="74" t="s">
        <v>1002</v>
      </c>
      <c r="B347" s="10" t="s">
        <v>1003</v>
      </c>
      <c r="C347" s="10" t="s">
        <v>446</v>
      </c>
      <c r="D347" s="98">
        <v>39364</v>
      </c>
      <c r="E347" s="382">
        <v>0</v>
      </c>
      <c r="F347" s="98">
        <v>10827</v>
      </c>
      <c r="G347" s="98">
        <v>12356</v>
      </c>
      <c r="H347" s="98">
        <v>12356</v>
      </c>
      <c r="I347" s="98">
        <v>12356</v>
      </c>
      <c r="J347" s="98"/>
    </row>
    <row r="348" spans="1:10" ht="14.25" hidden="1">
      <c r="A348" s="74" t="s">
        <v>1004</v>
      </c>
      <c r="B348" s="10" t="s">
        <v>1005</v>
      </c>
      <c r="C348" s="10" t="s">
        <v>377</v>
      </c>
      <c r="D348" s="98">
        <v>57680</v>
      </c>
      <c r="E348" s="382">
        <v>0</v>
      </c>
      <c r="F348" s="98">
        <v>14034</v>
      </c>
      <c r="G348" s="98">
        <v>18106</v>
      </c>
      <c r="H348" s="98">
        <v>18106</v>
      </c>
      <c r="I348" s="98">
        <v>18106</v>
      </c>
      <c r="J348" s="98"/>
    </row>
    <row r="349" spans="1:10" ht="14.25" hidden="1">
      <c r="A349" s="74" t="s">
        <v>1006</v>
      </c>
      <c r="B349" s="10" t="s">
        <v>1007</v>
      </c>
      <c r="C349" s="10" t="s">
        <v>446</v>
      </c>
      <c r="D349" s="98">
        <v>50066</v>
      </c>
      <c r="E349" s="382">
        <v>0</v>
      </c>
      <c r="F349" s="98">
        <v>12728</v>
      </c>
      <c r="G349" s="98">
        <v>15716</v>
      </c>
      <c r="H349" s="98">
        <v>15716</v>
      </c>
      <c r="I349" s="98">
        <v>15716</v>
      </c>
      <c r="J349" s="98"/>
    </row>
    <row r="350" spans="1:10" ht="14.25" hidden="1">
      <c r="A350" s="74" t="s">
        <v>1008</v>
      </c>
      <c r="B350" s="10" t="s">
        <v>1009</v>
      </c>
      <c r="C350" s="10" t="s">
        <v>377</v>
      </c>
      <c r="D350" s="98">
        <v>57005</v>
      </c>
      <c r="E350" s="382">
        <v>0</v>
      </c>
      <c r="F350" s="98">
        <v>13914</v>
      </c>
      <c r="G350" s="98">
        <v>17894</v>
      </c>
      <c r="H350" s="98">
        <v>17894</v>
      </c>
      <c r="I350" s="98">
        <v>17894</v>
      </c>
      <c r="J350" s="98"/>
    </row>
    <row r="351" spans="1:10" ht="14.25" hidden="1">
      <c r="A351" s="74" t="s">
        <v>1010</v>
      </c>
      <c r="B351" s="10" t="s">
        <v>1011</v>
      </c>
      <c r="C351" s="10" t="s">
        <v>446</v>
      </c>
      <c r="D351" s="98">
        <v>47644</v>
      </c>
      <c r="E351" s="382">
        <v>0</v>
      </c>
      <c r="F351" s="98">
        <v>12298</v>
      </c>
      <c r="G351" s="98">
        <v>14955</v>
      </c>
      <c r="H351" s="98">
        <v>14955</v>
      </c>
      <c r="I351" s="98">
        <v>14955</v>
      </c>
      <c r="J351" s="98"/>
    </row>
    <row r="352" spans="1:10" ht="14.25" hidden="1">
      <c r="A352" s="74" t="s">
        <v>1012</v>
      </c>
      <c r="B352" s="10" t="s">
        <v>1013</v>
      </c>
      <c r="C352" s="10" t="s">
        <v>446</v>
      </c>
      <c r="D352" s="98">
        <v>74640</v>
      </c>
      <c r="E352" s="382">
        <v>0</v>
      </c>
      <c r="F352" s="98">
        <v>17092</v>
      </c>
      <c r="G352" s="98">
        <v>23429</v>
      </c>
      <c r="H352" s="98">
        <v>23429</v>
      </c>
      <c r="I352" s="98">
        <v>23429</v>
      </c>
      <c r="J352" s="98"/>
    </row>
    <row r="353" spans="1:10" ht="14.25" hidden="1">
      <c r="A353" s="74" t="s">
        <v>1014</v>
      </c>
      <c r="B353" s="10" t="s">
        <v>1015</v>
      </c>
      <c r="C353" s="10" t="s">
        <v>446</v>
      </c>
      <c r="D353" s="98">
        <v>52263</v>
      </c>
      <c r="E353" s="382">
        <v>0</v>
      </c>
      <c r="F353" s="98">
        <v>13118</v>
      </c>
      <c r="G353" s="98">
        <v>16405</v>
      </c>
      <c r="H353" s="98">
        <v>16405</v>
      </c>
      <c r="I353" s="98">
        <v>16405</v>
      </c>
      <c r="J353" s="98"/>
    </row>
    <row r="354" spans="1:10" ht="14.25" hidden="1">
      <c r="A354" s="74" t="s">
        <v>1016</v>
      </c>
      <c r="B354" s="10" t="s">
        <v>1017</v>
      </c>
      <c r="C354" s="10" t="s">
        <v>446</v>
      </c>
      <c r="D354" s="98">
        <v>52176</v>
      </c>
      <c r="E354" s="382">
        <v>0</v>
      </c>
      <c r="F354" s="98">
        <v>13102</v>
      </c>
      <c r="G354" s="98">
        <v>16378</v>
      </c>
      <c r="H354" s="98">
        <v>16378</v>
      </c>
      <c r="I354" s="98">
        <v>16378</v>
      </c>
      <c r="J354" s="98"/>
    </row>
    <row r="355" spans="1:10" ht="14.25" hidden="1">
      <c r="A355" s="376" t="s">
        <v>1018</v>
      </c>
      <c r="B355" s="377" t="s">
        <v>1019</v>
      </c>
      <c r="C355" s="377" t="s">
        <v>377</v>
      </c>
      <c r="D355" s="98">
        <v>61560</v>
      </c>
      <c r="E355" s="382">
        <v>0</v>
      </c>
      <c r="F355" s="98">
        <v>14723</v>
      </c>
      <c r="G355" s="98">
        <v>19324</v>
      </c>
      <c r="H355" s="98">
        <v>19324</v>
      </c>
      <c r="I355" s="98">
        <v>19324</v>
      </c>
      <c r="J355" s="98"/>
    </row>
    <row r="356" spans="1:10" ht="14.25" hidden="1">
      <c r="A356" s="380" t="s">
        <v>1020</v>
      </c>
      <c r="B356" s="23" t="s">
        <v>1021</v>
      </c>
      <c r="C356" s="23" t="s">
        <v>446</v>
      </c>
      <c r="D356" s="381">
        <v>34664</v>
      </c>
      <c r="E356" s="382">
        <v>0</v>
      </c>
      <c r="F356" s="98">
        <v>9992</v>
      </c>
      <c r="G356" s="98">
        <v>10881</v>
      </c>
      <c r="H356" s="98">
        <v>10881</v>
      </c>
      <c r="I356" s="98">
        <v>10881</v>
      </c>
      <c r="J356" s="98"/>
    </row>
    <row r="357" spans="1:10" ht="14.25" hidden="1">
      <c r="A357" s="389" t="s">
        <v>1022</v>
      </c>
      <c r="B357" s="390" t="s">
        <v>1023</v>
      </c>
      <c r="C357" s="390" t="s">
        <v>446</v>
      </c>
      <c r="D357" s="98">
        <v>43634</v>
      </c>
      <c r="E357" s="382">
        <v>0</v>
      </c>
      <c r="F357" s="98">
        <v>11585</v>
      </c>
      <c r="G357" s="98">
        <v>13697</v>
      </c>
      <c r="H357" s="98">
        <v>13697</v>
      </c>
      <c r="I357" s="98">
        <v>13697</v>
      </c>
      <c r="J357" s="98"/>
    </row>
    <row r="358" spans="1:10" ht="14.25" hidden="1">
      <c r="A358" s="74" t="s">
        <v>1024</v>
      </c>
      <c r="B358" s="10" t="s">
        <v>1025</v>
      </c>
      <c r="C358" s="10" t="s">
        <v>446</v>
      </c>
      <c r="D358" s="98">
        <v>67880</v>
      </c>
      <c r="E358" s="382">
        <v>0</v>
      </c>
      <c r="F358" s="98">
        <v>15891</v>
      </c>
      <c r="G358" s="98">
        <v>21308</v>
      </c>
      <c r="H358" s="98">
        <v>21308</v>
      </c>
      <c r="I358" s="98">
        <v>21308</v>
      </c>
      <c r="J358" s="98"/>
    </row>
    <row r="359" spans="1:10" ht="14.25" hidden="1">
      <c r="A359" s="74" t="s">
        <v>1026</v>
      </c>
      <c r="B359" s="10" t="s">
        <v>1027</v>
      </c>
      <c r="C359" s="10" t="s">
        <v>446</v>
      </c>
      <c r="D359" s="98">
        <v>66652</v>
      </c>
      <c r="E359" s="382">
        <v>0</v>
      </c>
      <c r="F359" s="98">
        <v>15673</v>
      </c>
      <c r="G359" s="98">
        <v>20922</v>
      </c>
      <c r="H359" s="98">
        <v>20922</v>
      </c>
      <c r="I359" s="98">
        <v>20922</v>
      </c>
      <c r="J359" s="98"/>
    </row>
    <row r="360" spans="1:10" ht="14.25" hidden="1">
      <c r="A360" s="74" t="s">
        <v>1028</v>
      </c>
      <c r="B360" s="10" t="s">
        <v>1029</v>
      </c>
      <c r="C360" s="10" t="s">
        <v>446</v>
      </c>
      <c r="D360" s="98">
        <v>52262</v>
      </c>
      <c r="E360" s="382">
        <v>0</v>
      </c>
      <c r="F360" s="98">
        <v>13118</v>
      </c>
      <c r="G360" s="98">
        <v>16405</v>
      </c>
      <c r="H360" s="98">
        <v>16405</v>
      </c>
      <c r="I360" s="98">
        <v>16405</v>
      </c>
      <c r="J360" s="98"/>
    </row>
    <row r="361" spans="1:10" ht="14.25" hidden="1">
      <c r="A361" s="74" t="s">
        <v>1030</v>
      </c>
      <c r="B361" s="10" t="s">
        <v>1031</v>
      </c>
      <c r="C361" s="10" t="s">
        <v>446</v>
      </c>
      <c r="D361" s="98">
        <v>51934</v>
      </c>
      <c r="E361" s="382">
        <v>0</v>
      </c>
      <c r="F361" s="98">
        <v>13059</v>
      </c>
      <c r="G361" s="98">
        <v>16302</v>
      </c>
      <c r="H361" s="98">
        <v>16302</v>
      </c>
      <c r="I361" s="98">
        <v>16302</v>
      </c>
      <c r="J361" s="98"/>
    </row>
    <row r="362" spans="1:10" ht="14.25" hidden="1">
      <c r="A362" s="74" t="s">
        <v>1032</v>
      </c>
      <c r="B362" s="10" t="s">
        <v>1033</v>
      </c>
      <c r="C362" s="10" t="s">
        <v>446</v>
      </c>
      <c r="D362" s="98">
        <v>58924</v>
      </c>
      <c r="E362" s="382">
        <v>0</v>
      </c>
      <c r="F362" s="98">
        <v>14301</v>
      </c>
      <c r="G362" s="98">
        <v>18496</v>
      </c>
      <c r="H362" s="98">
        <v>18496</v>
      </c>
      <c r="I362" s="98">
        <v>18496</v>
      </c>
      <c r="J362" s="98"/>
    </row>
    <row r="363" spans="1:10" ht="14.25" hidden="1">
      <c r="A363" s="74" t="s">
        <v>1034</v>
      </c>
      <c r="B363" s="10" t="s">
        <v>1035</v>
      </c>
      <c r="C363" s="10" t="s">
        <v>446</v>
      </c>
      <c r="D363" s="98">
        <v>50900</v>
      </c>
      <c r="E363" s="382">
        <v>0</v>
      </c>
      <c r="F363" s="98">
        <v>12876</v>
      </c>
      <c r="G363" s="98">
        <v>15978</v>
      </c>
      <c r="H363" s="98">
        <v>15978</v>
      </c>
      <c r="I363" s="98">
        <v>15978</v>
      </c>
      <c r="J363" s="98"/>
    </row>
    <row r="364" spans="1:10" ht="14.25" hidden="1">
      <c r="A364" s="74" t="s">
        <v>1036</v>
      </c>
      <c r="B364" s="10" t="s">
        <v>1037</v>
      </c>
      <c r="C364" s="10" t="s">
        <v>446</v>
      </c>
      <c r="D364" s="98">
        <v>58120</v>
      </c>
      <c r="E364" s="382">
        <v>0</v>
      </c>
      <c r="F364" s="98">
        <v>14158</v>
      </c>
      <c r="G364" s="98">
        <v>18244</v>
      </c>
      <c r="H364" s="98">
        <v>18244</v>
      </c>
      <c r="I364" s="98">
        <v>18244</v>
      </c>
      <c r="J364" s="98"/>
    </row>
    <row r="365" spans="1:10" ht="14.25" hidden="1">
      <c r="A365" s="74" t="s">
        <v>1038</v>
      </c>
      <c r="B365" s="10" t="s">
        <v>1039</v>
      </c>
      <c r="C365" s="10" t="s">
        <v>446</v>
      </c>
      <c r="D365" s="98">
        <v>43526</v>
      </c>
      <c r="E365" s="382">
        <v>0</v>
      </c>
      <c r="F365" s="98">
        <v>11566</v>
      </c>
      <c r="G365" s="98">
        <v>13663</v>
      </c>
      <c r="H365" s="98">
        <v>13663</v>
      </c>
      <c r="I365" s="98">
        <v>13663</v>
      </c>
      <c r="J365" s="98"/>
    </row>
    <row r="366" spans="1:10" ht="14.25" hidden="1">
      <c r="A366" s="74" t="s">
        <v>1040</v>
      </c>
      <c r="B366" s="10" t="s">
        <v>1041</v>
      </c>
      <c r="C366" s="10" t="s">
        <v>446</v>
      </c>
      <c r="D366" s="98">
        <v>73156</v>
      </c>
      <c r="E366" s="382">
        <v>0</v>
      </c>
      <c r="F366" s="98">
        <v>16829</v>
      </c>
      <c r="G366" s="98">
        <v>22964</v>
      </c>
      <c r="H366" s="98">
        <v>22964</v>
      </c>
      <c r="I366" s="98">
        <v>22964</v>
      </c>
      <c r="J366" s="98"/>
    </row>
    <row r="367" spans="1:10" ht="14.25" hidden="1">
      <c r="A367" s="74" t="s">
        <v>1042</v>
      </c>
      <c r="B367" s="10" t="s">
        <v>1043</v>
      </c>
      <c r="C367" s="10" t="s">
        <v>446</v>
      </c>
      <c r="D367" s="98">
        <v>40740</v>
      </c>
      <c r="E367" s="382">
        <v>0</v>
      </c>
      <c r="F367" s="98">
        <v>11071</v>
      </c>
      <c r="G367" s="98">
        <v>12788</v>
      </c>
      <c r="H367" s="98">
        <v>12788</v>
      </c>
      <c r="I367" s="98">
        <v>12788</v>
      </c>
      <c r="J367" s="98"/>
    </row>
    <row r="368" spans="1:10" ht="14.25" hidden="1">
      <c r="A368" s="74" t="s">
        <v>1044</v>
      </c>
      <c r="B368" s="10" t="s">
        <v>1045</v>
      </c>
      <c r="C368" s="10" t="s">
        <v>446</v>
      </c>
      <c r="D368" s="98">
        <v>38040</v>
      </c>
      <c r="E368" s="382">
        <v>0</v>
      </c>
      <c r="F368" s="98">
        <v>10592</v>
      </c>
      <c r="G368" s="98">
        <v>11941</v>
      </c>
      <c r="H368" s="98">
        <v>11941</v>
      </c>
      <c r="I368" s="98">
        <v>11941</v>
      </c>
      <c r="J368" s="98"/>
    </row>
    <row r="369" spans="1:10" ht="14.25" hidden="1">
      <c r="A369" s="74" t="s">
        <v>1046</v>
      </c>
      <c r="B369" s="10" t="s">
        <v>1047</v>
      </c>
      <c r="C369" s="10" t="s">
        <v>446</v>
      </c>
      <c r="D369" s="98">
        <v>61000</v>
      </c>
      <c r="E369" s="382">
        <v>0</v>
      </c>
      <c r="F369" s="98">
        <v>14670</v>
      </c>
      <c r="G369" s="98">
        <v>19148</v>
      </c>
      <c r="H369" s="98">
        <v>19148</v>
      </c>
      <c r="I369" s="98">
        <v>19148</v>
      </c>
      <c r="J369" s="98"/>
    </row>
    <row r="370" spans="1:10" ht="14.25" hidden="1">
      <c r="A370" s="74" t="s">
        <v>1048</v>
      </c>
      <c r="B370" s="10" t="s">
        <v>1049</v>
      </c>
      <c r="C370" s="10" t="s">
        <v>446</v>
      </c>
      <c r="D370" s="98">
        <v>68422</v>
      </c>
      <c r="E370" s="382">
        <v>0</v>
      </c>
      <c r="F370" s="98">
        <v>15988</v>
      </c>
      <c r="G370" s="98">
        <v>21478</v>
      </c>
      <c r="H370" s="98">
        <v>21478</v>
      </c>
      <c r="I370" s="98">
        <v>21478</v>
      </c>
      <c r="J370" s="98"/>
    </row>
    <row r="371" spans="1:10" ht="14.25" hidden="1">
      <c r="A371" s="74" t="s">
        <v>1050</v>
      </c>
      <c r="B371" s="10" t="s">
        <v>1051</v>
      </c>
      <c r="C371" s="10" t="s">
        <v>446</v>
      </c>
      <c r="D371" s="98">
        <v>42562</v>
      </c>
      <c r="E371" s="382">
        <v>0</v>
      </c>
      <c r="F371" s="98">
        <v>11395</v>
      </c>
      <c r="G371" s="98">
        <v>13360</v>
      </c>
      <c r="H371" s="98">
        <v>13360</v>
      </c>
      <c r="I371" s="98">
        <v>13360</v>
      </c>
      <c r="J371" s="98"/>
    </row>
    <row r="372" spans="1:10" ht="14.25" hidden="1">
      <c r="A372" s="74" t="s">
        <v>1052</v>
      </c>
      <c r="B372" s="10" t="s">
        <v>1053</v>
      </c>
      <c r="C372" s="10" t="s">
        <v>446</v>
      </c>
      <c r="D372" s="98">
        <v>87460</v>
      </c>
      <c r="E372" s="382">
        <v>0</v>
      </c>
      <c r="F372" s="98">
        <v>19369</v>
      </c>
      <c r="G372" s="98">
        <v>27454</v>
      </c>
      <c r="H372" s="98">
        <v>27454</v>
      </c>
      <c r="I372" s="98">
        <v>27454</v>
      </c>
      <c r="J372" s="98"/>
    </row>
    <row r="373" spans="1:10" ht="14.25" hidden="1">
      <c r="A373" s="74" t="s">
        <v>1054</v>
      </c>
      <c r="B373" s="10" t="s">
        <v>1055</v>
      </c>
      <c r="C373" s="10" t="s">
        <v>446</v>
      </c>
      <c r="D373" s="98">
        <v>83966</v>
      </c>
      <c r="E373" s="382">
        <v>0</v>
      </c>
      <c r="F373" s="98">
        <v>18748</v>
      </c>
      <c r="G373" s="98">
        <v>26357</v>
      </c>
      <c r="H373" s="98">
        <v>26357</v>
      </c>
      <c r="I373" s="98">
        <v>26357</v>
      </c>
      <c r="J373" s="98"/>
    </row>
    <row r="374" spans="1:10" ht="14.25" hidden="1">
      <c r="A374" s="74" t="s">
        <v>1056</v>
      </c>
      <c r="B374" s="10" t="s">
        <v>1057</v>
      </c>
      <c r="C374" s="10" t="s">
        <v>446</v>
      </c>
      <c r="D374" s="98">
        <v>77122</v>
      </c>
      <c r="E374" s="382">
        <v>0</v>
      </c>
      <c r="F374" s="98">
        <v>17533</v>
      </c>
      <c r="G374" s="98">
        <v>24209</v>
      </c>
      <c r="H374" s="98">
        <v>24209</v>
      </c>
      <c r="I374" s="98">
        <v>24209</v>
      </c>
      <c r="J374" s="98"/>
    </row>
    <row r="375" spans="1:10" ht="14.25" hidden="1">
      <c r="A375" s="74" t="s">
        <v>1058</v>
      </c>
      <c r="B375" s="10" t="s">
        <v>1059</v>
      </c>
      <c r="C375" s="10" t="s">
        <v>446</v>
      </c>
      <c r="D375" s="98">
        <v>49142</v>
      </c>
      <c r="E375" s="382">
        <v>0</v>
      </c>
      <c r="F375" s="98">
        <v>12564</v>
      </c>
      <c r="G375" s="98">
        <v>15426</v>
      </c>
      <c r="H375" s="98">
        <v>15426</v>
      </c>
      <c r="I375" s="98">
        <v>15426</v>
      </c>
      <c r="J375" s="98"/>
    </row>
    <row r="376" spans="1:10" ht="14.25" hidden="1">
      <c r="A376" s="74" t="s">
        <v>1060</v>
      </c>
      <c r="B376" s="10" t="s">
        <v>1061</v>
      </c>
      <c r="C376" s="10" t="s">
        <v>446</v>
      </c>
      <c r="D376" s="98">
        <v>63582</v>
      </c>
      <c r="E376" s="382">
        <v>0</v>
      </c>
      <c r="F376" s="98">
        <v>15128</v>
      </c>
      <c r="G376" s="98">
        <v>19958</v>
      </c>
      <c r="H376" s="98">
        <v>19958</v>
      </c>
      <c r="I376" s="98">
        <v>19958</v>
      </c>
      <c r="J376" s="98"/>
    </row>
    <row r="377" spans="1:10" ht="14.25" hidden="1">
      <c r="A377" s="74" t="s">
        <v>1062</v>
      </c>
      <c r="B377" s="10" t="s">
        <v>1063</v>
      </c>
      <c r="C377" s="10" t="s">
        <v>446</v>
      </c>
      <c r="D377" s="98">
        <v>55820</v>
      </c>
      <c r="E377" s="382">
        <v>0</v>
      </c>
      <c r="F377" s="98">
        <v>13750</v>
      </c>
      <c r="G377" s="98">
        <v>17522</v>
      </c>
      <c r="H377" s="98">
        <v>17522</v>
      </c>
      <c r="I377" s="98">
        <v>17522</v>
      </c>
      <c r="J377" s="98"/>
    </row>
    <row r="378" spans="1:10" ht="14.25" hidden="1">
      <c r="A378" s="74" t="s">
        <v>1064</v>
      </c>
      <c r="B378" s="10" t="s">
        <v>1065</v>
      </c>
      <c r="C378" s="10" t="s">
        <v>446</v>
      </c>
      <c r="D378" s="98">
        <v>51324</v>
      </c>
      <c r="E378" s="382">
        <v>0</v>
      </c>
      <c r="F378" s="98">
        <v>12951</v>
      </c>
      <c r="G378" s="98">
        <v>16111</v>
      </c>
      <c r="H378" s="98">
        <v>16111</v>
      </c>
      <c r="I378" s="98">
        <v>16111</v>
      </c>
      <c r="J378" s="98"/>
    </row>
    <row r="379" spans="1:10" ht="14.25" hidden="1">
      <c r="A379" s="74" t="s">
        <v>1066</v>
      </c>
      <c r="B379" s="10" t="s">
        <v>1067</v>
      </c>
      <c r="C379" s="10" t="s">
        <v>446</v>
      </c>
      <c r="D379" s="98">
        <v>57256</v>
      </c>
      <c r="E379" s="382">
        <v>0</v>
      </c>
      <c r="F379" s="98">
        <v>14005</v>
      </c>
      <c r="G379" s="98">
        <v>17973</v>
      </c>
      <c r="H379" s="98">
        <v>17973</v>
      </c>
      <c r="I379" s="98">
        <v>17973</v>
      </c>
      <c r="J379" s="98"/>
    </row>
    <row r="380" spans="1:10" ht="14.25" hidden="1">
      <c r="A380" s="74" t="s">
        <v>1068</v>
      </c>
      <c r="B380" s="10" t="s">
        <v>1069</v>
      </c>
      <c r="C380" s="10" t="s">
        <v>446</v>
      </c>
      <c r="D380" s="98">
        <v>52734</v>
      </c>
      <c r="E380" s="382">
        <v>0</v>
      </c>
      <c r="F380" s="98">
        <v>13202</v>
      </c>
      <c r="G380" s="98">
        <v>16553</v>
      </c>
      <c r="H380" s="98">
        <v>16553</v>
      </c>
      <c r="I380" s="98">
        <v>16553</v>
      </c>
      <c r="J380" s="98"/>
    </row>
    <row r="381" spans="1:10" ht="14.25" hidden="1">
      <c r="A381" s="74" t="s">
        <v>1070</v>
      </c>
      <c r="B381" s="10" t="s">
        <v>1071</v>
      </c>
      <c r="C381" s="10" t="s">
        <v>446</v>
      </c>
      <c r="D381" s="98">
        <v>54132</v>
      </c>
      <c r="E381" s="382">
        <v>0</v>
      </c>
      <c r="F381" s="98">
        <v>13450</v>
      </c>
      <c r="G381" s="98">
        <v>16992</v>
      </c>
      <c r="H381" s="98">
        <v>16992</v>
      </c>
      <c r="I381" s="98">
        <v>16992</v>
      </c>
      <c r="J381" s="98"/>
    </row>
    <row r="382" spans="1:10" ht="14.25" hidden="1">
      <c r="A382" s="74" t="s">
        <v>1072</v>
      </c>
      <c r="B382" s="10" t="s">
        <v>453</v>
      </c>
      <c r="C382" s="10" t="s">
        <v>446</v>
      </c>
      <c r="D382" s="98">
        <v>44800</v>
      </c>
      <c r="E382" s="382">
        <v>0</v>
      </c>
      <c r="F382" s="98">
        <v>11792</v>
      </c>
      <c r="G382" s="98">
        <v>14063</v>
      </c>
      <c r="H382" s="98">
        <v>14063</v>
      </c>
      <c r="I382" s="98">
        <v>14063</v>
      </c>
      <c r="J382" s="98"/>
    </row>
    <row r="383" spans="1:10" ht="14.25" hidden="1">
      <c r="A383" s="74" t="s">
        <v>1073</v>
      </c>
      <c r="B383" s="10" t="s">
        <v>1074</v>
      </c>
      <c r="C383" s="10" t="s">
        <v>446</v>
      </c>
      <c r="D383" s="98">
        <v>84440</v>
      </c>
      <c r="E383" s="382">
        <v>0</v>
      </c>
      <c r="F383" s="98">
        <v>18833</v>
      </c>
      <c r="G383" s="98">
        <v>26506</v>
      </c>
      <c r="H383" s="98">
        <v>26506</v>
      </c>
      <c r="I383" s="98">
        <v>26506</v>
      </c>
      <c r="J383" s="98"/>
    </row>
    <row r="384" spans="1:10" ht="14.25" hidden="1">
      <c r="A384" s="74" t="s">
        <v>1075</v>
      </c>
      <c r="B384" s="10" t="s">
        <v>453</v>
      </c>
      <c r="C384" s="10" t="s">
        <v>446</v>
      </c>
      <c r="D384" s="98">
        <v>30727</v>
      </c>
      <c r="E384" s="382">
        <v>0</v>
      </c>
      <c r="F384" s="98">
        <v>9293</v>
      </c>
      <c r="G384" s="98">
        <v>9645</v>
      </c>
      <c r="H384" s="98">
        <v>9645</v>
      </c>
      <c r="I384" s="98">
        <v>9645</v>
      </c>
      <c r="J384" s="98"/>
    </row>
    <row r="385" spans="1:10" ht="14.25" hidden="1">
      <c r="A385" s="74" t="s">
        <v>1076</v>
      </c>
      <c r="B385" s="10" t="s">
        <v>1077</v>
      </c>
      <c r="C385" s="10" t="s">
        <v>446</v>
      </c>
      <c r="D385" s="98">
        <v>78590</v>
      </c>
      <c r="E385" s="382">
        <v>0</v>
      </c>
      <c r="F385" s="98">
        <v>17794</v>
      </c>
      <c r="G385" s="98">
        <v>24669</v>
      </c>
      <c r="H385" s="98">
        <v>24669</v>
      </c>
      <c r="I385" s="98">
        <v>24669</v>
      </c>
      <c r="J385" s="98"/>
    </row>
    <row r="386" spans="1:10" ht="14.25" hidden="1">
      <c r="A386" s="74" t="s">
        <v>1078</v>
      </c>
      <c r="B386" s="10" t="s">
        <v>1079</v>
      </c>
      <c r="C386" s="10" t="s">
        <v>446</v>
      </c>
      <c r="D386" s="98">
        <v>80232</v>
      </c>
      <c r="E386" s="382">
        <v>0</v>
      </c>
      <c r="F386" s="98">
        <v>18085</v>
      </c>
      <c r="G386" s="98">
        <v>25185</v>
      </c>
      <c r="H386" s="98">
        <v>25185</v>
      </c>
      <c r="I386" s="98">
        <v>25185</v>
      </c>
      <c r="J386" s="98"/>
    </row>
    <row r="387" spans="1:10" ht="14.25" hidden="1">
      <c r="A387" s="74" t="s">
        <v>1080</v>
      </c>
      <c r="B387" s="10" t="s">
        <v>1081</v>
      </c>
      <c r="C387" s="10" t="s">
        <v>446</v>
      </c>
      <c r="D387" s="98">
        <v>68000</v>
      </c>
      <c r="E387" s="382">
        <v>0</v>
      </c>
      <c r="F387" s="98">
        <v>15913</v>
      </c>
      <c r="G387" s="98">
        <v>21345</v>
      </c>
      <c r="H387" s="98">
        <v>21345</v>
      </c>
      <c r="I387" s="98">
        <v>21345</v>
      </c>
      <c r="J387" s="98"/>
    </row>
    <row r="388" spans="1:10" ht="14.25" hidden="1">
      <c r="A388" s="74" t="s">
        <v>1082</v>
      </c>
      <c r="B388" s="10" t="s">
        <v>1083</v>
      </c>
      <c r="C388" s="10" t="s">
        <v>446</v>
      </c>
      <c r="D388" s="98">
        <v>26846</v>
      </c>
      <c r="E388" s="382">
        <v>0</v>
      </c>
      <c r="F388" s="98">
        <v>8604</v>
      </c>
      <c r="G388" s="98">
        <v>8427</v>
      </c>
      <c r="H388" s="98">
        <v>8427</v>
      </c>
      <c r="I388" s="98">
        <v>8427</v>
      </c>
      <c r="J388" s="98"/>
    </row>
    <row r="389" spans="1:10" ht="14.25" hidden="1">
      <c r="A389" s="74" t="s">
        <v>1084</v>
      </c>
      <c r="B389" s="10" t="s">
        <v>1085</v>
      </c>
      <c r="C389" s="10" t="s">
        <v>446</v>
      </c>
      <c r="D389" s="98">
        <v>67236</v>
      </c>
      <c r="E389" s="382">
        <v>0</v>
      </c>
      <c r="F389" s="98">
        <v>15777</v>
      </c>
      <c r="G389" s="98">
        <v>21105</v>
      </c>
      <c r="H389" s="98">
        <v>21105</v>
      </c>
      <c r="I389" s="98">
        <v>21105</v>
      </c>
      <c r="J389" s="98"/>
    </row>
    <row r="390" spans="1:10" ht="14.25" hidden="1">
      <c r="A390" s="74" t="s">
        <v>1086</v>
      </c>
      <c r="B390" s="10" t="s">
        <v>1087</v>
      </c>
      <c r="C390" s="10" t="s">
        <v>446</v>
      </c>
      <c r="D390" s="98">
        <v>55000</v>
      </c>
      <c r="E390" s="382">
        <v>0</v>
      </c>
      <c r="F390" s="98">
        <v>13604</v>
      </c>
      <c r="G390" s="98">
        <v>17265</v>
      </c>
      <c r="H390" s="98">
        <v>17265</v>
      </c>
      <c r="I390" s="98">
        <v>17265</v>
      </c>
      <c r="J390" s="98"/>
    </row>
    <row r="391" spans="1:10" ht="14.25" hidden="1">
      <c r="A391" s="74" t="s">
        <v>1088</v>
      </c>
      <c r="B391" s="10" t="s">
        <v>1089</v>
      </c>
      <c r="C391" s="10" t="s">
        <v>446</v>
      </c>
      <c r="D391" s="98">
        <v>37674</v>
      </c>
      <c r="E391" s="382">
        <v>0</v>
      </c>
      <c r="F391" s="98">
        <v>10527</v>
      </c>
      <c r="G391" s="98">
        <v>11826</v>
      </c>
      <c r="H391" s="98">
        <v>11826</v>
      </c>
      <c r="I391" s="98">
        <v>11826</v>
      </c>
      <c r="J391" s="98"/>
    </row>
    <row r="392" spans="1:10" ht="14.25" hidden="1">
      <c r="A392" s="74" t="s">
        <v>1090</v>
      </c>
      <c r="B392" s="10" t="s">
        <v>1091</v>
      </c>
      <c r="C392" s="10" t="s">
        <v>446</v>
      </c>
      <c r="D392" s="98">
        <v>48320</v>
      </c>
      <c r="E392" s="382">
        <v>0</v>
      </c>
      <c r="F392" s="98">
        <v>12418</v>
      </c>
      <c r="G392" s="98">
        <v>15168</v>
      </c>
      <c r="H392" s="98">
        <v>15168</v>
      </c>
      <c r="I392" s="98">
        <v>15168</v>
      </c>
      <c r="J392" s="98"/>
    </row>
    <row r="393" spans="1:10" ht="14.25" hidden="1">
      <c r="A393" s="74" t="s">
        <v>1092</v>
      </c>
      <c r="B393" s="10" t="s">
        <v>1093</v>
      </c>
      <c r="C393" s="10" t="s">
        <v>446</v>
      </c>
      <c r="D393" s="98">
        <v>64400</v>
      </c>
      <c r="E393" s="382">
        <v>0</v>
      </c>
      <c r="F393" s="98">
        <v>15273</v>
      </c>
      <c r="G393" s="98">
        <v>20215</v>
      </c>
      <c r="H393" s="98">
        <v>20215</v>
      </c>
      <c r="I393" s="98">
        <v>20215</v>
      </c>
      <c r="J393" s="98"/>
    </row>
    <row r="394" spans="1:10" ht="14.25" hidden="1">
      <c r="A394" s="74" t="s">
        <v>1094</v>
      </c>
      <c r="B394" s="10" t="s">
        <v>1095</v>
      </c>
      <c r="C394" s="10" t="s">
        <v>446</v>
      </c>
      <c r="D394" s="98">
        <v>44310</v>
      </c>
      <c r="E394" s="382">
        <v>0</v>
      </c>
      <c r="F394" s="98">
        <v>11705</v>
      </c>
      <c r="G394" s="98">
        <v>13909</v>
      </c>
      <c r="H394" s="98">
        <v>13909</v>
      </c>
      <c r="I394" s="98">
        <v>13909</v>
      </c>
      <c r="J394" s="98"/>
    </row>
    <row r="395" spans="1:10" ht="14.25" hidden="1">
      <c r="A395" s="74" t="s">
        <v>1096</v>
      </c>
      <c r="B395" s="10" t="s">
        <v>1097</v>
      </c>
      <c r="C395" s="10" t="s">
        <v>446</v>
      </c>
      <c r="D395" s="98">
        <v>50588</v>
      </c>
      <c r="E395" s="382">
        <v>0</v>
      </c>
      <c r="F395" s="98">
        <v>12820</v>
      </c>
      <c r="G395" s="98">
        <v>15880</v>
      </c>
      <c r="H395" s="98">
        <v>15880</v>
      </c>
      <c r="I395" s="98">
        <v>15880</v>
      </c>
      <c r="J395" s="98"/>
    </row>
    <row r="396" spans="1:10" ht="14.25" hidden="1">
      <c r="A396" s="74" t="s">
        <v>1098</v>
      </c>
      <c r="B396" s="10" t="s">
        <v>1099</v>
      </c>
      <c r="C396" s="10" t="s">
        <v>446</v>
      </c>
      <c r="D396" s="98">
        <v>27755</v>
      </c>
      <c r="E396" s="382">
        <v>0</v>
      </c>
      <c r="F396" s="98">
        <v>8765</v>
      </c>
      <c r="G396" s="98">
        <v>8712</v>
      </c>
      <c r="H396" s="98">
        <v>8712</v>
      </c>
      <c r="I396" s="98">
        <v>8712</v>
      </c>
      <c r="J396" s="98"/>
    </row>
    <row r="397" spans="1:10" ht="14.25" hidden="1">
      <c r="A397" s="74" t="s">
        <v>1100</v>
      </c>
      <c r="B397" s="10" t="s">
        <v>1101</v>
      </c>
      <c r="C397" s="10" t="s">
        <v>391</v>
      </c>
      <c r="D397" s="98">
        <v>70956</v>
      </c>
      <c r="E397" s="382">
        <v>0</v>
      </c>
      <c r="F397" s="98">
        <v>17583</v>
      </c>
      <c r="G397" s="98">
        <v>22273</v>
      </c>
      <c r="H397" s="98">
        <v>22273</v>
      </c>
      <c r="I397" s="98">
        <v>22273</v>
      </c>
      <c r="J397" s="98"/>
    </row>
    <row r="398" spans="1:10" ht="14.25" hidden="1">
      <c r="A398" s="74" t="s">
        <v>1102</v>
      </c>
      <c r="B398" s="10" t="s">
        <v>1103</v>
      </c>
      <c r="C398" s="10" t="s">
        <v>446</v>
      </c>
      <c r="D398" s="98">
        <v>63916</v>
      </c>
      <c r="E398" s="382">
        <v>0</v>
      </c>
      <c r="F398" s="98">
        <v>15187</v>
      </c>
      <c r="G398" s="98">
        <v>20063</v>
      </c>
      <c r="H398" s="98">
        <v>20063</v>
      </c>
      <c r="I398" s="98">
        <v>20063</v>
      </c>
      <c r="J398" s="98"/>
    </row>
    <row r="399" spans="1:10" ht="14.25" hidden="1">
      <c r="A399" s="74" t="s">
        <v>1104</v>
      </c>
      <c r="B399" s="10" t="s">
        <v>1105</v>
      </c>
      <c r="C399" s="10" t="s">
        <v>396</v>
      </c>
      <c r="D399" s="98">
        <v>46552</v>
      </c>
      <c r="E399" s="382">
        <v>0</v>
      </c>
      <c r="F399" s="98">
        <v>12144</v>
      </c>
      <c r="G399" s="98">
        <v>14613</v>
      </c>
      <c r="H399" s="98">
        <v>14613</v>
      </c>
      <c r="I399" s="98">
        <v>14613</v>
      </c>
      <c r="J399" s="98"/>
    </row>
    <row r="400" spans="1:10" ht="14.25" hidden="1">
      <c r="A400" s="74" t="s">
        <v>1106</v>
      </c>
      <c r="B400" s="10" t="s">
        <v>1107</v>
      </c>
      <c r="C400" s="10" t="s">
        <v>446</v>
      </c>
      <c r="D400" s="98">
        <v>42982</v>
      </c>
      <c r="E400" s="382">
        <v>0</v>
      </c>
      <c r="F400" s="98">
        <v>11470</v>
      </c>
      <c r="G400" s="98">
        <v>13492</v>
      </c>
      <c r="H400" s="98">
        <v>13492</v>
      </c>
      <c r="I400" s="98">
        <v>13492</v>
      </c>
      <c r="J400" s="98"/>
    </row>
    <row r="401" spans="1:10" ht="14.25" hidden="1">
      <c r="A401" s="74" t="s">
        <v>1108</v>
      </c>
      <c r="B401" s="10" t="s">
        <v>1109</v>
      </c>
      <c r="C401" s="10" t="s">
        <v>446</v>
      </c>
      <c r="D401" s="98">
        <v>63187</v>
      </c>
      <c r="E401" s="382">
        <v>0</v>
      </c>
      <c r="F401" s="98">
        <v>15058</v>
      </c>
      <c r="G401" s="98">
        <v>19834</v>
      </c>
      <c r="H401" s="98">
        <v>19834</v>
      </c>
      <c r="I401" s="98">
        <v>19834</v>
      </c>
      <c r="J401" s="98"/>
    </row>
    <row r="402" spans="1:10" ht="14.25" hidden="1">
      <c r="A402" s="74" t="s">
        <v>1110</v>
      </c>
      <c r="B402" s="10" t="s">
        <v>1111</v>
      </c>
      <c r="C402" s="10" t="s">
        <v>446</v>
      </c>
      <c r="D402" s="98">
        <v>62314</v>
      </c>
      <c r="E402" s="382">
        <v>0</v>
      </c>
      <c r="F402" s="98">
        <v>14903</v>
      </c>
      <c r="G402" s="98">
        <v>19560</v>
      </c>
      <c r="H402" s="98">
        <v>19560</v>
      </c>
      <c r="I402" s="98">
        <v>19560</v>
      </c>
      <c r="J402" s="98"/>
    </row>
    <row r="403" spans="1:10" ht="14.25" hidden="1">
      <c r="A403" s="74" t="s">
        <v>1112</v>
      </c>
      <c r="B403" s="10" t="s">
        <v>1113</v>
      </c>
      <c r="C403" s="10" t="s">
        <v>396</v>
      </c>
      <c r="D403" s="98">
        <v>33974</v>
      </c>
      <c r="E403" s="382">
        <v>0</v>
      </c>
      <c r="F403" s="98">
        <v>9910</v>
      </c>
      <c r="G403" s="98">
        <v>10664</v>
      </c>
      <c r="H403" s="98">
        <v>10664</v>
      </c>
      <c r="I403" s="98">
        <v>10664</v>
      </c>
      <c r="J403" s="98"/>
    </row>
    <row r="404" spans="1:10" ht="14.25" hidden="1">
      <c r="A404" s="74" t="s">
        <v>1114</v>
      </c>
      <c r="B404" s="10" t="s">
        <v>1115</v>
      </c>
      <c r="C404" s="10" t="s">
        <v>396</v>
      </c>
      <c r="D404" s="98">
        <v>44148</v>
      </c>
      <c r="E404" s="382">
        <v>0</v>
      </c>
      <c r="F404" s="98">
        <v>11717</v>
      </c>
      <c r="G404" s="98">
        <v>13858</v>
      </c>
      <c r="H404" s="98">
        <v>13858</v>
      </c>
      <c r="I404" s="98">
        <v>13858</v>
      </c>
      <c r="J404" s="98"/>
    </row>
    <row r="405" spans="1:10" ht="14.25" hidden="1">
      <c r="A405" s="74" t="s">
        <v>1116</v>
      </c>
      <c r="B405" s="10" t="s">
        <v>1117</v>
      </c>
      <c r="C405" s="10" t="s">
        <v>446</v>
      </c>
      <c r="D405" s="98">
        <v>30202</v>
      </c>
      <c r="E405" s="382">
        <v>0</v>
      </c>
      <c r="F405" s="98">
        <v>9200</v>
      </c>
      <c r="G405" s="98">
        <v>9480</v>
      </c>
      <c r="H405" s="98">
        <v>9480</v>
      </c>
      <c r="I405" s="98">
        <v>9480</v>
      </c>
      <c r="J405" s="98"/>
    </row>
    <row r="406" spans="1:10" ht="14.25" hidden="1">
      <c r="A406" s="74" t="s">
        <v>1118</v>
      </c>
      <c r="B406" s="10" t="s">
        <v>1119</v>
      </c>
      <c r="C406" s="10" t="s">
        <v>446</v>
      </c>
      <c r="D406" s="98">
        <v>66352</v>
      </c>
      <c r="E406" s="382">
        <v>0</v>
      </c>
      <c r="F406" s="98">
        <v>15620</v>
      </c>
      <c r="G406" s="98">
        <v>20828</v>
      </c>
      <c r="H406" s="98">
        <v>20828</v>
      </c>
      <c r="I406" s="98">
        <v>20828</v>
      </c>
      <c r="J406" s="98"/>
    </row>
    <row r="407" spans="1:10" ht="14.25" hidden="1">
      <c r="A407" s="74" t="s">
        <v>1120</v>
      </c>
      <c r="B407" s="10" t="s">
        <v>1121</v>
      </c>
      <c r="C407" s="10" t="s">
        <v>446</v>
      </c>
      <c r="D407" s="98">
        <v>43232</v>
      </c>
      <c r="E407" s="382">
        <v>0</v>
      </c>
      <c r="F407" s="98">
        <v>11514</v>
      </c>
      <c r="G407" s="98">
        <v>13571</v>
      </c>
      <c r="H407" s="98">
        <v>13571</v>
      </c>
      <c r="I407" s="98">
        <v>13571</v>
      </c>
      <c r="J407" s="98"/>
    </row>
    <row r="408" spans="1:10" ht="14.25" hidden="1">
      <c r="A408" s="74" t="s">
        <v>1122</v>
      </c>
      <c r="B408" s="10" t="s">
        <v>1123</v>
      </c>
      <c r="C408" s="10" t="s">
        <v>446</v>
      </c>
      <c r="D408" s="98">
        <v>40000</v>
      </c>
      <c r="E408" s="382">
        <v>0</v>
      </c>
      <c r="F408" s="98">
        <v>10940</v>
      </c>
      <c r="G408" s="98">
        <v>12556</v>
      </c>
      <c r="H408" s="98">
        <v>12556</v>
      </c>
      <c r="I408" s="98">
        <v>12556</v>
      </c>
      <c r="J408" s="98"/>
    </row>
    <row r="409" spans="1:10" ht="14.25" hidden="1">
      <c r="A409" s="74" t="s">
        <v>1124</v>
      </c>
      <c r="B409" s="10" t="s">
        <v>1125</v>
      </c>
      <c r="C409" s="10" t="s">
        <v>446</v>
      </c>
      <c r="D409" s="98">
        <v>49542</v>
      </c>
      <c r="E409" s="382">
        <v>0</v>
      </c>
      <c r="F409" s="98">
        <v>12635</v>
      </c>
      <c r="G409" s="98">
        <v>15551</v>
      </c>
      <c r="H409" s="98">
        <v>15551</v>
      </c>
      <c r="I409" s="98">
        <v>15551</v>
      </c>
      <c r="J409" s="98"/>
    </row>
    <row r="410" spans="1:10" ht="14.25" hidden="1">
      <c r="A410" s="376" t="s">
        <v>1126</v>
      </c>
      <c r="B410" s="377" t="s">
        <v>1127</v>
      </c>
      <c r="C410" s="377" t="s">
        <v>446</v>
      </c>
      <c r="D410" s="98">
        <v>44800</v>
      </c>
      <c r="E410" s="382">
        <v>0</v>
      </c>
      <c r="F410" s="98">
        <v>11792</v>
      </c>
      <c r="G410" s="98">
        <v>14063</v>
      </c>
      <c r="H410" s="98">
        <v>14063</v>
      </c>
      <c r="I410" s="98">
        <v>14063</v>
      </c>
      <c r="J410" s="98"/>
    </row>
    <row r="411" spans="1:10" ht="14.25" hidden="1">
      <c r="A411" s="380" t="s">
        <v>1128</v>
      </c>
      <c r="B411" s="23" t="s">
        <v>1129</v>
      </c>
      <c r="C411" s="23" t="s">
        <v>446</v>
      </c>
      <c r="D411" s="381">
        <v>58828</v>
      </c>
      <c r="E411" s="382">
        <v>0</v>
      </c>
      <c r="F411" s="98">
        <v>14284</v>
      </c>
      <c r="G411" s="98">
        <v>18466</v>
      </c>
      <c r="H411" s="98">
        <v>18466</v>
      </c>
      <c r="I411" s="98">
        <v>18466</v>
      </c>
      <c r="J411" s="98"/>
    </row>
    <row r="412" spans="1:10" ht="14.25" hidden="1">
      <c r="A412" s="385" t="s">
        <v>1130</v>
      </c>
      <c r="B412" s="386" t="s">
        <v>1129</v>
      </c>
      <c r="C412" s="386" t="s">
        <v>446</v>
      </c>
      <c r="D412" s="98">
        <v>55800</v>
      </c>
      <c r="E412" s="382">
        <v>0</v>
      </c>
      <c r="F412" s="98">
        <v>13746</v>
      </c>
      <c r="G412" s="98">
        <v>17516</v>
      </c>
      <c r="H412" s="98">
        <v>17516</v>
      </c>
      <c r="I412" s="98">
        <v>17516</v>
      </c>
      <c r="J412" s="98"/>
    </row>
    <row r="413" spans="1:10" ht="14.25" hidden="1">
      <c r="A413" s="380" t="s">
        <v>1131</v>
      </c>
      <c r="B413" s="23" t="s">
        <v>1129</v>
      </c>
      <c r="C413" s="23" t="s">
        <v>446</v>
      </c>
      <c r="D413" s="381">
        <v>57170</v>
      </c>
      <c r="E413" s="382">
        <v>0</v>
      </c>
      <c r="F413" s="98">
        <v>13989</v>
      </c>
      <c r="G413" s="98">
        <v>17946</v>
      </c>
      <c r="H413" s="98">
        <v>17946</v>
      </c>
      <c r="I413" s="98">
        <v>17946</v>
      </c>
      <c r="J413" s="98"/>
    </row>
    <row r="414" spans="1:10" ht="14.25" hidden="1">
      <c r="A414" s="389" t="s">
        <v>1132</v>
      </c>
      <c r="B414" s="390" t="s">
        <v>1129</v>
      </c>
      <c r="C414" s="390" t="s">
        <v>446</v>
      </c>
      <c r="D414" s="98">
        <v>65650</v>
      </c>
      <c r="E414" s="382">
        <v>0</v>
      </c>
      <c r="F414" s="98">
        <v>15495</v>
      </c>
      <c r="G414" s="98">
        <v>20608</v>
      </c>
      <c r="H414" s="98">
        <v>20608</v>
      </c>
      <c r="I414" s="98">
        <v>20608</v>
      </c>
      <c r="J414" s="98"/>
    </row>
    <row r="415" spans="1:10" ht="14.25" hidden="1">
      <c r="A415" s="74" t="s">
        <v>1133</v>
      </c>
      <c r="B415" s="10" t="s">
        <v>1134</v>
      </c>
      <c r="C415" s="10" t="s">
        <v>377</v>
      </c>
      <c r="D415" s="98">
        <v>58954</v>
      </c>
      <c r="E415" s="382">
        <v>0</v>
      </c>
      <c r="F415" s="98">
        <v>14260</v>
      </c>
      <c r="G415" s="98">
        <v>18506</v>
      </c>
      <c r="H415" s="98">
        <v>18506</v>
      </c>
      <c r="I415" s="98">
        <v>18506</v>
      </c>
      <c r="J415" s="98"/>
    </row>
    <row r="416" spans="1:10" ht="14.25" hidden="1">
      <c r="A416" s="74" t="s">
        <v>1135</v>
      </c>
      <c r="B416" s="10" t="s">
        <v>1136</v>
      </c>
      <c r="C416" s="10" t="s">
        <v>446</v>
      </c>
      <c r="D416" s="98">
        <v>58954</v>
      </c>
      <c r="E416" s="382">
        <v>0</v>
      </c>
      <c r="F416" s="98">
        <v>14306</v>
      </c>
      <c r="G416" s="98">
        <v>18506</v>
      </c>
      <c r="H416" s="98">
        <v>18506</v>
      </c>
      <c r="I416" s="98">
        <v>18506</v>
      </c>
      <c r="J416" s="98"/>
    </row>
    <row r="417" spans="1:10" ht="14.25" hidden="1">
      <c r="A417" s="74" t="s">
        <v>1137</v>
      </c>
      <c r="B417" s="10" t="s">
        <v>1138</v>
      </c>
      <c r="C417" s="10" t="s">
        <v>446</v>
      </c>
      <c r="D417" s="98">
        <v>37696</v>
      </c>
      <c r="E417" s="382">
        <v>0</v>
      </c>
      <c r="F417" s="98">
        <v>10531</v>
      </c>
      <c r="G417" s="98">
        <v>11833</v>
      </c>
      <c r="H417" s="98">
        <v>11833</v>
      </c>
      <c r="I417" s="98">
        <v>11833</v>
      </c>
      <c r="J417" s="98"/>
    </row>
    <row r="418" spans="1:10" ht="14.25" hidden="1">
      <c r="A418" s="74" t="s">
        <v>1139</v>
      </c>
      <c r="B418" s="10" t="s">
        <v>1140</v>
      </c>
      <c r="C418" s="10" t="s">
        <v>446</v>
      </c>
      <c r="D418" s="98">
        <v>51322</v>
      </c>
      <c r="E418" s="382">
        <v>0</v>
      </c>
      <c r="F418" s="98">
        <v>12951</v>
      </c>
      <c r="G418" s="98">
        <v>16110</v>
      </c>
      <c r="H418" s="98">
        <v>16110</v>
      </c>
      <c r="I418" s="98">
        <v>16110</v>
      </c>
      <c r="J418" s="98"/>
    </row>
    <row r="419" spans="1:10" ht="14.25" hidden="1">
      <c r="A419" s="74" t="s">
        <v>1141</v>
      </c>
      <c r="B419" s="10" t="s">
        <v>1142</v>
      </c>
      <c r="C419" s="10" t="s">
        <v>446</v>
      </c>
      <c r="D419" s="98">
        <v>46304</v>
      </c>
      <c r="E419" s="382">
        <v>0</v>
      </c>
      <c r="F419" s="98">
        <v>12060</v>
      </c>
      <c r="G419" s="98">
        <v>14535</v>
      </c>
      <c r="H419" s="98">
        <v>14535</v>
      </c>
      <c r="I419" s="98">
        <v>14535</v>
      </c>
      <c r="J419" s="98"/>
    </row>
    <row r="420" spans="1:10" ht="14.25" hidden="1">
      <c r="A420" s="74" t="s">
        <v>1143</v>
      </c>
      <c r="B420" s="10" t="s">
        <v>1144</v>
      </c>
      <c r="C420" s="10" t="s">
        <v>446</v>
      </c>
      <c r="D420" s="98">
        <v>55110</v>
      </c>
      <c r="E420" s="382">
        <v>0</v>
      </c>
      <c r="F420" s="98">
        <v>13624</v>
      </c>
      <c r="G420" s="98">
        <v>17299</v>
      </c>
      <c r="H420" s="98">
        <v>17299</v>
      </c>
      <c r="I420" s="98">
        <v>17299</v>
      </c>
      <c r="J420" s="98"/>
    </row>
    <row r="421" spans="1:10" ht="14.25" hidden="1">
      <c r="A421" s="74" t="s">
        <v>1145</v>
      </c>
      <c r="B421" s="10" t="s">
        <v>1146</v>
      </c>
      <c r="C421" s="10" t="s">
        <v>446</v>
      </c>
      <c r="D421" s="98">
        <v>38282</v>
      </c>
      <c r="E421" s="382">
        <v>0</v>
      </c>
      <c r="F421" s="98">
        <v>10635</v>
      </c>
      <c r="G421" s="98">
        <v>12017</v>
      </c>
      <c r="H421" s="98">
        <v>12017</v>
      </c>
      <c r="I421" s="98">
        <v>12017</v>
      </c>
      <c r="J421" s="98"/>
    </row>
    <row r="422" spans="1:10" ht="14.25" hidden="1">
      <c r="A422" s="74" t="s">
        <v>1147</v>
      </c>
      <c r="B422" s="10" t="s">
        <v>1148</v>
      </c>
      <c r="C422" s="10" t="s">
        <v>446</v>
      </c>
      <c r="D422" s="98">
        <v>51438</v>
      </c>
      <c r="E422" s="382">
        <v>0</v>
      </c>
      <c r="F422" s="98">
        <v>12971</v>
      </c>
      <c r="G422" s="98">
        <v>16146</v>
      </c>
      <c r="H422" s="98">
        <v>16146</v>
      </c>
      <c r="I422" s="98">
        <v>16146</v>
      </c>
      <c r="J422" s="98"/>
    </row>
    <row r="423" spans="1:10" ht="14.25" hidden="1">
      <c r="A423" s="74" t="s">
        <v>1149</v>
      </c>
      <c r="B423" s="10" t="s">
        <v>1150</v>
      </c>
      <c r="C423" s="10" t="s">
        <v>446</v>
      </c>
      <c r="D423" s="98">
        <v>46080</v>
      </c>
      <c r="E423" s="382">
        <v>0</v>
      </c>
      <c r="F423" s="98">
        <v>12020</v>
      </c>
      <c r="G423" s="98">
        <v>14465</v>
      </c>
      <c r="H423" s="98">
        <v>14465</v>
      </c>
      <c r="I423" s="98">
        <v>14465</v>
      </c>
      <c r="J423" s="98"/>
    </row>
    <row r="424" spans="1:10" ht="14.25" hidden="1">
      <c r="A424" s="376" t="s">
        <v>1151</v>
      </c>
      <c r="B424" s="377" t="s">
        <v>1152</v>
      </c>
      <c r="C424" s="377" t="s">
        <v>446</v>
      </c>
      <c r="D424" s="98">
        <v>64812</v>
      </c>
      <c r="E424" s="382">
        <v>0</v>
      </c>
      <c r="F424" s="98">
        <v>15347</v>
      </c>
      <c r="G424" s="98">
        <v>20344</v>
      </c>
      <c r="H424" s="98">
        <v>20344</v>
      </c>
      <c r="I424" s="98">
        <v>20344</v>
      </c>
      <c r="J424" s="98"/>
    </row>
    <row r="425" spans="1:10" ht="14.25" hidden="1">
      <c r="A425" s="380" t="s">
        <v>1153</v>
      </c>
      <c r="B425" s="23" t="s">
        <v>1154</v>
      </c>
      <c r="C425" s="23" t="s">
        <v>446</v>
      </c>
      <c r="D425" s="381">
        <v>51736</v>
      </c>
      <c r="E425" s="382">
        <v>0</v>
      </c>
      <c r="F425" s="98">
        <v>13024</v>
      </c>
      <c r="G425" s="98">
        <v>16240</v>
      </c>
      <c r="H425" s="98">
        <v>16240</v>
      </c>
      <c r="I425" s="98">
        <v>16240</v>
      </c>
      <c r="J425" s="98"/>
    </row>
    <row r="426" spans="1:10" ht="14.25" hidden="1">
      <c r="A426" s="389" t="s">
        <v>1155</v>
      </c>
      <c r="B426" s="390" t="s">
        <v>1154</v>
      </c>
      <c r="C426" s="390" t="s">
        <v>446</v>
      </c>
      <c r="D426" s="98">
        <v>57752</v>
      </c>
      <c r="E426" s="382">
        <v>0</v>
      </c>
      <c r="F426" s="98">
        <v>14093</v>
      </c>
      <c r="G426" s="98">
        <v>18128</v>
      </c>
      <c r="H426" s="98">
        <v>18128</v>
      </c>
      <c r="I426" s="98">
        <v>18128</v>
      </c>
      <c r="J426" s="98"/>
    </row>
    <row r="427" spans="1:10" ht="14.25" hidden="1">
      <c r="A427" s="74" t="s">
        <v>1156</v>
      </c>
      <c r="B427" s="10" t="s">
        <v>1152</v>
      </c>
      <c r="C427" s="10" t="s">
        <v>446</v>
      </c>
      <c r="D427" s="98">
        <v>26150</v>
      </c>
      <c r="E427" s="382">
        <v>0</v>
      </c>
      <c r="F427" s="98">
        <v>8480</v>
      </c>
      <c r="G427" s="98">
        <v>8208</v>
      </c>
      <c r="H427" s="98">
        <v>8208</v>
      </c>
      <c r="I427" s="98">
        <v>8208</v>
      </c>
      <c r="J427" s="98"/>
    </row>
    <row r="428" spans="1:10" ht="14.25" hidden="1">
      <c r="A428" s="74" t="s">
        <v>1157</v>
      </c>
      <c r="B428" s="10" t="s">
        <v>1158</v>
      </c>
      <c r="C428" s="10" t="s">
        <v>446</v>
      </c>
      <c r="D428" s="98">
        <v>44276</v>
      </c>
      <c r="E428" s="382">
        <v>0</v>
      </c>
      <c r="F428" s="98">
        <v>11699</v>
      </c>
      <c r="G428" s="98">
        <v>13898</v>
      </c>
      <c r="H428" s="98">
        <v>13898</v>
      </c>
      <c r="I428" s="98">
        <v>13898</v>
      </c>
      <c r="J428" s="98"/>
    </row>
    <row r="429" spans="1:10" ht="14.25" hidden="1">
      <c r="A429" s="74" t="s">
        <v>1159</v>
      </c>
      <c r="B429" s="10" t="s">
        <v>1160</v>
      </c>
      <c r="C429" s="10" t="s">
        <v>446</v>
      </c>
      <c r="D429" s="98">
        <v>70000</v>
      </c>
      <c r="E429" s="382">
        <v>0</v>
      </c>
      <c r="F429" s="98">
        <v>16268</v>
      </c>
      <c r="G429" s="98">
        <v>21973</v>
      </c>
      <c r="H429" s="98">
        <v>21973</v>
      </c>
      <c r="I429" s="98">
        <v>21973</v>
      </c>
      <c r="J429" s="98"/>
    </row>
    <row r="430" spans="1:10" ht="14.25" hidden="1">
      <c r="A430" s="74" t="s">
        <v>1161</v>
      </c>
      <c r="B430" s="10" t="s">
        <v>1162</v>
      </c>
      <c r="C430" s="10" t="s">
        <v>446</v>
      </c>
      <c r="D430" s="98">
        <v>49782</v>
      </c>
      <c r="E430" s="382">
        <v>0</v>
      </c>
      <c r="F430" s="98">
        <v>12677</v>
      </c>
      <c r="G430" s="98">
        <v>15627</v>
      </c>
      <c r="H430" s="98">
        <v>15627</v>
      </c>
      <c r="I430" s="98">
        <v>15627</v>
      </c>
      <c r="J430" s="98"/>
    </row>
    <row r="431" spans="1:10" ht="14.25" hidden="1">
      <c r="A431" s="74" t="s">
        <v>1163</v>
      </c>
      <c r="B431" s="10" t="s">
        <v>1164</v>
      </c>
      <c r="C431" s="10" t="s">
        <v>446</v>
      </c>
      <c r="D431" s="98">
        <v>27040</v>
      </c>
      <c r="E431" s="382">
        <v>0</v>
      </c>
      <c r="F431" s="98">
        <v>8638</v>
      </c>
      <c r="G431" s="98">
        <v>8488</v>
      </c>
      <c r="H431" s="98">
        <v>8488</v>
      </c>
      <c r="I431" s="98">
        <v>8488</v>
      </c>
      <c r="J431" s="98"/>
    </row>
    <row r="432" spans="1:10" ht="14.25" hidden="1">
      <c r="A432" s="74" t="s">
        <v>1165</v>
      </c>
      <c r="B432" s="10" t="s">
        <v>1166</v>
      </c>
      <c r="C432" s="10" t="s">
        <v>377</v>
      </c>
      <c r="D432" s="98">
        <v>68508</v>
      </c>
      <c r="E432" s="382">
        <v>0</v>
      </c>
      <c r="F432" s="98">
        <v>15957</v>
      </c>
      <c r="G432" s="98">
        <v>21505</v>
      </c>
      <c r="H432" s="98">
        <v>21505</v>
      </c>
      <c r="I432" s="98">
        <v>21505</v>
      </c>
      <c r="J432" s="98"/>
    </row>
    <row r="433" spans="1:10" ht="14.25" hidden="1">
      <c r="A433" s="74" t="s">
        <v>1167</v>
      </c>
      <c r="B433" s="10" t="s">
        <v>1168</v>
      </c>
      <c r="C433" s="10" t="s">
        <v>446</v>
      </c>
      <c r="D433" s="98">
        <v>72576</v>
      </c>
      <c r="E433" s="382">
        <v>0</v>
      </c>
      <c r="F433" s="98">
        <v>16725</v>
      </c>
      <c r="G433" s="98">
        <v>22782</v>
      </c>
      <c r="H433" s="98">
        <v>22782</v>
      </c>
      <c r="I433" s="98">
        <v>22782</v>
      </c>
      <c r="J433" s="98"/>
    </row>
    <row r="434" spans="1:10" ht="14.25" hidden="1">
      <c r="A434" s="74" t="s">
        <v>1169</v>
      </c>
      <c r="B434" s="10" t="s">
        <v>1170</v>
      </c>
      <c r="C434" s="10" t="s">
        <v>446</v>
      </c>
      <c r="D434" s="98">
        <v>53939</v>
      </c>
      <c r="E434" s="382">
        <v>0</v>
      </c>
      <c r="F434" s="98">
        <v>13416</v>
      </c>
      <c r="G434" s="98">
        <v>16931</v>
      </c>
      <c r="H434" s="98">
        <v>16931</v>
      </c>
      <c r="I434" s="98">
        <v>16931</v>
      </c>
      <c r="J434" s="98"/>
    </row>
    <row r="435" spans="1:10" ht="14.25" hidden="1">
      <c r="A435" s="74" t="s">
        <v>1171</v>
      </c>
      <c r="B435" s="10" t="s">
        <v>1172</v>
      </c>
      <c r="C435" s="10" t="s">
        <v>446</v>
      </c>
      <c r="D435" s="98">
        <v>16514</v>
      </c>
      <c r="E435" s="382">
        <v>0</v>
      </c>
      <c r="F435" s="98">
        <v>6769</v>
      </c>
      <c r="G435" s="98">
        <v>5184</v>
      </c>
      <c r="H435" s="98">
        <v>5184</v>
      </c>
      <c r="I435" s="98">
        <v>5184</v>
      </c>
      <c r="J435" s="98"/>
    </row>
    <row r="436" spans="1:10" ht="14.25" hidden="1">
      <c r="A436" s="74" t="s">
        <v>1173</v>
      </c>
      <c r="B436" s="10" t="s">
        <v>1174</v>
      </c>
      <c r="C436" s="10" t="s">
        <v>446</v>
      </c>
      <c r="D436" s="98">
        <v>56800</v>
      </c>
      <c r="E436" s="382">
        <v>0</v>
      </c>
      <c r="F436" s="98">
        <v>13924</v>
      </c>
      <c r="G436" s="98">
        <v>17830</v>
      </c>
      <c r="H436" s="98">
        <v>17830</v>
      </c>
      <c r="I436" s="98">
        <v>17830</v>
      </c>
      <c r="J436" s="98"/>
    </row>
    <row r="437" spans="1:10" ht="14.25" hidden="1">
      <c r="A437" s="74" t="s">
        <v>1175</v>
      </c>
      <c r="B437" s="10" t="s">
        <v>1176</v>
      </c>
      <c r="C437" s="10" t="s">
        <v>446</v>
      </c>
      <c r="D437" s="98">
        <v>57348</v>
      </c>
      <c r="E437" s="382">
        <v>0</v>
      </c>
      <c r="F437" s="98">
        <v>14021</v>
      </c>
      <c r="G437" s="98">
        <v>18002</v>
      </c>
      <c r="H437" s="98">
        <v>18002</v>
      </c>
      <c r="I437" s="98">
        <v>18002</v>
      </c>
      <c r="J437" s="98"/>
    </row>
    <row r="438" spans="1:10" ht="14.25" hidden="1">
      <c r="A438" s="74" t="s">
        <v>1177</v>
      </c>
      <c r="B438" s="10" t="s">
        <v>1178</v>
      </c>
      <c r="C438" s="10" t="s">
        <v>446</v>
      </c>
      <c r="D438" s="98">
        <v>63000</v>
      </c>
      <c r="E438" s="382">
        <v>0</v>
      </c>
      <c r="F438" s="98">
        <v>15025</v>
      </c>
      <c r="G438" s="98">
        <v>19776</v>
      </c>
      <c r="H438" s="98">
        <v>19776</v>
      </c>
      <c r="I438" s="98">
        <v>19776</v>
      </c>
      <c r="J438" s="98"/>
    </row>
    <row r="439" spans="1:10" ht="14.25" hidden="1">
      <c r="A439" s="74" t="s">
        <v>1179</v>
      </c>
      <c r="B439" s="10" t="s">
        <v>1180</v>
      </c>
      <c r="C439" s="10" t="s">
        <v>446</v>
      </c>
      <c r="D439" s="98">
        <v>67229</v>
      </c>
      <c r="E439" s="382">
        <v>0</v>
      </c>
      <c r="F439" s="98">
        <v>15776</v>
      </c>
      <c r="G439" s="98">
        <v>21103</v>
      </c>
      <c r="H439" s="98">
        <v>21103</v>
      </c>
      <c r="I439" s="98">
        <v>21103</v>
      </c>
      <c r="J439" s="98"/>
    </row>
    <row r="440" spans="1:10" ht="14.25" hidden="1">
      <c r="A440" s="74" t="s">
        <v>1181</v>
      </c>
      <c r="B440" s="10" t="s">
        <v>1182</v>
      </c>
      <c r="C440" s="10" t="s">
        <v>446</v>
      </c>
      <c r="D440" s="98">
        <v>44880</v>
      </c>
      <c r="E440" s="382">
        <v>0</v>
      </c>
      <c r="F440" s="98">
        <v>11807</v>
      </c>
      <c r="G440" s="98">
        <v>14088</v>
      </c>
      <c r="H440" s="98">
        <v>14088</v>
      </c>
      <c r="I440" s="98">
        <v>14088</v>
      </c>
      <c r="J440" s="98"/>
    </row>
    <row r="441" spans="1:10" ht="14.25" hidden="1">
      <c r="A441" s="74" t="s">
        <v>1183</v>
      </c>
      <c r="B441" s="10" t="s">
        <v>1184</v>
      </c>
      <c r="C441" s="10" t="s">
        <v>446</v>
      </c>
      <c r="D441" s="98">
        <v>33224</v>
      </c>
      <c r="E441" s="382">
        <v>0</v>
      </c>
      <c r="F441" s="98">
        <v>9737</v>
      </c>
      <c r="G441" s="98">
        <v>10429</v>
      </c>
      <c r="H441" s="98">
        <v>10429</v>
      </c>
      <c r="I441" s="98">
        <v>10429</v>
      </c>
      <c r="J441" s="98"/>
    </row>
    <row r="442" spans="1:10" ht="14.25" hidden="1">
      <c r="A442" s="74" t="s">
        <v>1185</v>
      </c>
      <c r="B442" s="10" t="s">
        <v>1186</v>
      </c>
      <c r="C442" s="10" t="s">
        <v>446</v>
      </c>
      <c r="D442" s="98">
        <v>48894</v>
      </c>
      <c r="E442" s="382">
        <v>0</v>
      </c>
      <c r="F442" s="98">
        <v>12520</v>
      </c>
      <c r="G442" s="98">
        <v>15348</v>
      </c>
      <c r="H442" s="98">
        <v>15348</v>
      </c>
      <c r="I442" s="98">
        <v>15348</v>
      </c>
      <c r="J442" s="98"/>
    </row>
    <row r="443" spans="1:10" ht="14.25" hidden="1">
      <c r="A443" s="74" t="s">
        <v>1187</v>
      </c>
      <c r="B443" s="10" t="s">
        <v>1188</v>
      </c>
      <c r="C443" s="10" t="s">
        <v>446</v>
      </c>
      <c r="D443" s="98">
        <v>32262</v>
      </c>
      <c r="E443" s="382">
        <v>0</v>
      </c>
      <c r="F443" s="98">
        <v>9566</v>
      </c>
      <c r="G443" s="98">
        <v>10127</v>
      </c>
      <c r="H443" s="98">
        <v>10127</v>
      </c>
      <c r="I443" s="98">
        <v>10127</v>
      </c>
      <c r="J443" s="98"/>
    </row>
    <row r="444" spans="1:10" ht="14.25" hidden="1">
      <c r="A444" s="74" t="s">
        <v>1189</v>
      </c>
      <c r="B444" s="10" t="s">
        <v>1154</v>
      </c>
      <c r="C444" s="10" t="s">
        <v>446</v>
      </c>
      <c r="D444" s="98">
        <v>41362</v>
      </c>
      <c r="E444" s="382">
        <v>0</v>
      </c>
      <c r="F444" s="98">
        <v>11182</v>
      </c>
      <c r="G444" s="98">
        <v>12984</v>
      </c>
      <c r="H444" s="98">
        <v>12984</v>
      </c>
      <c r="I444" s="98">
        <v>12984</v>
      </c>
      <c r="J444" s="98"/>
    </row>
    <row r="445" spans="1:10" ht="14.25" hidden="1">
      <c r="A445" s="74" t="s">
        <v>1190</v>
      </c>
      <c r="B445" s="10" t="s">
        <v>1154</v>
      </c>
      <c r="C445" s="10" t="s">
        <v>446</v>
      </c>
      <c r="D445" s="98">
        <v>67280</v>
      </c>
      <c r="E445" s="382">
        <v>0</v>
      </c>
      <c r="F445" s="98">
        <v>15785</v>
      </c>
      <c r="G445" s="98">
        <v>21119</v>
      </c>
      <c r="H445" s="98">
        <v>21119</v>
      </c>
      <c r="I445" s="98">
        <v>21119</v>
      </c>
      <c r="J445" s="98"/>
    </row>
    <row r="446" spans="1:10" ht="14.25" hidden="1">
      <c r="A446" s="74" t="s">
        <v>1191</v>
      </c>
      <c r="B446" s="10" t="s">
        <v>1154</v>
      </c>
      <c r="C446" s="10" t="s">
        <v>446</v>
      </c>
      <c r="D446" s="98">
        <v>53146</v>
      </c>
      <c r="E446" s="382">
        <v>0</v>
      </c>
      <c r="F446" s="98">
        <v>13275</v>
      </c>
      <c r="G446" s="98">
        <v>16683</v>
      </c>
      <c r="H446" s="98">
        <v>16683</v>
      </c>
      <c r="I446" s="98">
        <v>16683</v>
      </c>
      <c r="J446" s="98"/>
    </row>
    <row r="447" spans="1:10" ht="14.25" hidden="1">
      <c r="A447" s="74" t="s">
        <v>1192</v>
      </c>
      <c r="B447" s="10" t="s">
        <v>1154</v>
      </c>
      <c r="C447" s="10" t="s">
        <v>446</v>
      </c>
      <c r="D447" s="98">
        <v>63390</v>
      </c>
      <c r="E447" s="382">
        <v>0</v>
      </c>
      <c r="F447" s="98">
        <v>15094</v>
      </c>
      <c r="G447" s="98">
        <v>19898</v>
      </c>
      <c r="H447" s="98">
        <v>19898</v>
      </c>
      <c r="I447" s="98">
        <v>19898</v>
      </c>
      <c r="J447" s="98"/>
    </row>
    <row r="448" spans="1:10" ht="14.25" hidden="1">
      <c r="A448" s="74" t="s">
        <v>1193</v>
      </c>
      <c r="B448" s="10" t="s">
        <v>525</v>
      </c>
      <c r="C448" s="10" t="s">
        <v>446</v>
      </c>
      <c r="D448" s="98">
        <v>72662</v>
      </c>
      <c r="E448" s="382">
        <v>0</v>
      </c>
      <c r="F448" s="98">
        <v>16741</v>
      </c>
      <c r="G448" s="98">
        <v>22809</v>
      </c>
      <c r="H448" s="98">
        <v>22809</v>
      </c>
      <c r="I448" s="98">
        <v>22809</v>
      </c>
      <c r="J448" s="98"/>
    </row>
    <row r="449" spans="1:10" ht="14.25" hidden="1">
      <c r="A449" s="74" t="s">
        <v>1194</v>
      </c>
      <c r="B449" s="10" t="s">
        <v>1195</v>
      </c>
      <c r="C449" s="10" t="s">
        <v>446</v>
      </c>
      <c r="D449" s="98">
        <v>25280</v>
      </c>
      <c r="E449" s="382">
        <v>0</v>
      </c>
      <c r="F449" s="98">
        <v>8326</v>
      </c>
      <c r="G449" s="98">
        <v>7935</v>
      </c>
      <c r="H449" s="98">
        <v>7935</v>
      </c>
      <c r="I449" s="98">
        <v>7935</v>
      </c>
      <c r="J449" s="98"/>
    </row>
    <row r="450" spans="1:10" ht="14.25" hidden="1">
      <c r="A450" s="74" t="s">
        <v>1196</v>
      </c>
      <c r="B450" s="10" t="s">
        <v>1197</v>
      </c>
      <c r="C450" s="10" t="s">
        <v>446</v>
      </c>
      <c r="D450" s="98">
        <v>31008</v>
      </c>
      <c r="E450" s="382">
        <v>0</v>
      </c>
      <c r="F450" s="98">
        <v>9343</v>
      </c>
      <c r="G450" s="98">
        <v>9733</v>
      </c>
      <c r="H450" s="98">
        <v>9733</v>
      </c>
      <c r="I450" s="98">
        <v>9733</v>
      </c>
      <c r="J450" s="98"/>
    </row>
    <row r="451" spans="1:10" ht="14.25" hidden="1">
      <c r="A451" s="74" t="s">
        <v>1198</v>
      </c>
      <c r="B451" s="10" t="s">
        <v>1199</v>
      </c>
      <c r="C451" s="10" t="s">
        <v>446</v>
      </c>
      <c r="D451" s="98">
        <v>32496</v>
      </c>
      <c r="E451" s="382">
        <v>0</v>
      </c>
      <c r="F451" s="98">
        <v>9607</v>
      </c>
      <c r="G451" s="98">
        <v>10200</v>
      </c>
      <c r="H451" s="98">
        <v>10200</v>
      </c>
      <c r="I451" s="98">
        <v>10200</v>
      </c>
      <c r="J451" s="98"/>
    </row>
    <row r="452" spans="1:10" ht="14.25" hidden="1">
      <c r="A452" s="74" t="s">
        <v>1200</v>
      </c>
      <c r="B452" s="10" t="s">
        <v>1201</v>
      </c>
      <c r="C452" s="10" t="s">
        <v>446</v>
      </c>
      <c r="D452" s="98">
        <v>35716</v>
      </c>
      <c r="E452" s="382">
        <v>0</v>
      </c>
      <c r="F452" s="98">
        <v>10179</v>
      </c>
      <c r="G452" s="98">
        <v>11211</v>
      </c>
      <c r="H452" s="98">
        <v>11211</v>
      </c>
      <c r="I452" s="98">
        <v>11211</v>
      </c>
      <c r="J452" s="98"/>
    </row>
    <row r="453" spans="1:10" ht="14.25" hidden="1">
      <c r="A453" s="74" t="s">
        <v>1202</v>
      </c>
      <c r="B453" s="10" t="s">
        <v>1203</v>
      </c>
      <c r="C453" s="10" t="s">
        <v>446</v>
      </c>
      <c r="D453" s="98">
        <v>37890</v>
      </c>
      <c r="E453" s="382">
        <v>0</v>
      </c>
      <c r="F453" s="98">
        <v>10565</v>
      </c>
      <c r="G453" s="98">
        <v>11894</v>
      </c>
      <c r="H453" s="98">
        <v>11894</v>
      </c>
      <c r="I453" s="98">
        <v>11894</v>
      </c>
      <c r="J453" s="98"/>
    </row>
    <row r="454" spans="1:10" ht="14.25" hidden="1">
      <c r="A454" s="74" t="s">
        <v>1204</v>
      </c>
      <c r="B454" s="10" t="s">
        <v>1205</v>
      </c>
      <c r="C454" s="10" t="s">
        <v>446</v>
      </c>
      <c r="D454" s="98">
        <v>49810</v>
      </c>
      <c r="E454" s="382">
        <v>0</v>
      </c>
      <c r="F454" s="98">
        <v>12682</v>
      </c>
      <c r="G454" s="98">
        <v>15635</v>
      </c>
      <c r="H454" s="98">
        <v>15635</v>
      </c>
      <c r="I454" s="98">
        <v>15635</v>
      </c>
      <c r="J454" s="98"/>
    </row>
    <row r="455" spans="1:10" ht="14.25" hidden="1">
      <c r="A455" s="74" t="s">
        <v>1206</v>
      </c>
      <c r="B455" s="10" t="s">
        <v>1207</v>
      </c>
      <c r="C455" s="10" t="s">
        <v>446</v>
      </c>
      <c r="D455" s="98">
        <v>49248</v>
      </c>
      <c r="E455" s="382">
        <v>0</v>
      </c>
      <c r="F455" s="98">
        <v>12582</v>
      </c>
      <c r="G455" s="98">
        <v>15459</v>
      </c>
      <c r="H455" s="98">
        <v>15459</v>
      </c>
      <c r="I455" s="98">
        <v>15459</v>
      </c>
      <c r="J455" s="98"/>
    </row>
    <row r="456" spans="1:10" ht="14.25" hidden="1">
      <c r="A456" s="74" t="s">
        <v>1208</v>
      </c>
      <c r="B456" s="10" t="s">
        <v>1209</v>
      </c>
      <c r="C456" s="10" t="s">
        <v>446</v>
      </c>
      <c r="D456" s="98">
        <v>61770</v>
      </c>
      <c r="E456" s="382">
        <v>0</v>
      </c>
      <c r="F456" s="98">
        <v>14806</v>
      </c>
      <c r="G456" s="98">
        <v>19390</v>
      </c>
      <c r="H456" s="98">
        <v>19390</v>
      </c>
      <c r="I456" s="98">
        <v>19390</v>
      </c>
      <c r="J456" s="98"/>
    </row>
    <row r="457" spans="1:10" ht="14.25" hidden="1">
      <c r="A457" s="74" t="s">
        <v>1210</v>
      </c>
      <c r="B457" s="10" t="s">
        <v>1211</v>
      </c>
      <c r="C457" s="10" t="s">
        <v>377</v>
      </c>
      <c r="D457" s="98">
        <v>71256</v>
      </c>
      <c r="E457" s="382">
        <v>0</v>
      </c>
      <c r="F457" s="98">
        <v>16445</v>
      </c>
      <c r="G457" s="98">
        <v>22367</v>
      </c>
      <c r="H457" s="98">
        <v>22367</v>
      </c>
      <c r="I457" s="98">
        <v>22367</v>
      </c>
      <c r="J457" s="98"/>
    </row>
    <row r="458" spans="1:10" ht="14.25" hidden="1">
      <c r="A458" s="74" t="s">
        <v>1212</v>
      </c>
      <c r="B458" s="10" t="s">
        <v>1213</v>
      </c>
      <c r="C458" s="10" t="s">
        <v>377</v>
      </c>
      <c r="D458" s="98">
        <v>42198</v>
      </c>
      <c r="E458" s="382">
        <v>0</v>
      </c>
      <c r="F458" s="98">
        <v>11284</v>
      </c>
      <c r="G458" s="98">
        <v>13246</v>
      </c>
      <c r="H458" s="98">
        <v>13246</v>
      </c>
      <c r="I458" s="98">
        <v>13246</v>
      </c>
      <c r="J458" s="98"/>
    </row>
    <row r="459" spans="1:10" ht="14.25" hidden="1">
      <c r="A459" s="74" t="s">
        <v>1214</v>
      </c>
      <c r="B459" s="10" t="s">
        <v>1215</v>
      </c>
      <c r="C459" s="10" t="s">
        <v>377</v>
      </c>
      <c r="D459" s="98">
        <v>71976</v>
      </c>
      <c r="E459" s="382">
        <v>0</v>
      </c>
      <c r="F459" s="98">
        <v>16573</v>
      </c>
      <c r="G459" s="98">
        <v>22593</v>
      </c>
      <c r="H459" s="98">
        <v>22593</v>
      </c>
      <c r="I459" s="98">
        <v>22593</v>
      </c>
      <c r="J459" s="98"/>
    </row>
    <row r="460" spans="1:10" ht="14.25" hidden="1">
      <c r="A460" s="74" t="s">
        <v>1216</v>
      </c>
      <c r="B460" s="10" t="s">
        <v>1217</v>
      </c>
      <c r="C460" s="10" t="s">
        <v>377</v>
      </c>
      <c r="D460" s="98">
        <v>48642</v>
      </c>
      <c r="E460" s="382">
        <v>0</v>
      </c>
      <c r="F460" s="98">
        <v>12429</v>
      </c>
      <c r="G460" s="98">
        <v>15269</v>
      </c>
      <c r="H460" s="98">
        <v>15269</v>
      </c>
      <c r="I460" s="98">
        <v>15269</v>
      </c>
      <c r="J460" s="98"/>
    </row>
    <row r="461" spans="1:10" ht="14.25" hidden="1">
      <c r="A461" s="74" t="s">
        <v>1218</v>
      </c>
      <c r="B461" s="10" t="s">
        <v>1219</v>
      </c>
      <c r="C461" s="10" t="s">
        <v>377</v>
      </c>
      <c r="D461" s="98">
        <v>60156</v>
      </c>
      <c r="E461" s="382">
        <v>0</v>
      </c>
      <c r="F461" s="98">
        <v>14474</v>
      </c>
      <c r="G461" s="98">
        <v>18883</v>
      </c>
      <c r="H461" s="98">
        <v>18883</v>
      </c>
      <c r="I461" s="98">
        <v>18883</v>
      </c>
      <c r="J461" s="98"/>
    </row>
    <row r="462" spans="1:10" ht="14.25" hidden="1">
      <c r="A462" s="74" t="s">
        <v>1220</v>
      </c>
      <c r="B462" s="10" t="s">
        <v>1221</v>
      </c>
      <c r="C462" s="10" t="s">
        <v>446</v>
      </c>
      <c r="D462" s="98">
        <v>51570</v>
      </c>
      <c r="E462" s="382">
        <v>0</v>
      </c>
      <c r="F462" s="98">
        <v>12995</v>
      </c>
      <c r="G462" s="98">
        <v>16188</v>
      </c>
      <c r="H462" s="98">
        <v>16188</v>
      </c>
      <c r="I462" s="98">
        <v>16188</v>
      </c>
      <c r="J462" s="98"/>
    </row>
    <row r="463" spans="1:10" ht="14.25" hidden="1">
      <c r="A463" s="74" t="s">
        <v>1222</v>
      </c>
      <c r="B463" s="10" t="s">
        <v>1223</v>
      </c>
      <c r="C463" s="10" t="s">
        <v>446</v>
      </c>
      <c r="D463" s="98">
        <v>37374</v>
      </c>
      <c r="E463" s="382">
        <v>0</v>
      </c>
      <c r="F463" s="98">
        <v>10474</v>
      </c>
      <c r="G463" s="98">
        <v>11732</v>
      </c>
      <c r="H463" s="98">
        <v>11732</v>
      </c>
      <c r="I463" s="98">
        <v>11732</v>
      </c>
      <c r="J463" s="98"/>
    </row>
    <row r="464" spans="1:10" ht="14.25" hidden="1">
      <c r="A464" s="74" t="s">
        <v>1224</v>
      </c>
      <c r="B464" s="10" t="s">
        <v>1225</v>
      </c>
      <c r="C464" s="10" t="s">
        <v>446</v>
      </c>
      <c r="D464" s="98">
        <v>68496</v>
      </c>
      <c r="E464" s="382">
        <v>0</v>
      </c>
      <c r="F464" s="98">
        <v>16001</v>
      </c>
      <c r="G464" s="98">
        <v>21501</v>
      </c>
      <c r="H464" s="98">
        <v>21501</v>
      </c>
      <c r="I464" s="98">
        <v>21501</v>
      </c>
      <c r="J464" s="98"/>
    </row>
    <row r="465" spans="1:10" ht="14.25" hidden="1">
      <c r="A465" s="74" t="s">
        <v>1226</v>
      </c>
      <c r="B465" s="10" t="s">
        <v>1227</v>
      </c>
      <c r="C465" s="10" t="s">
        <v>446</v>
      </c>
      <c r="D465" s="98">
        <v>79036</v>
      </c>
      <c r="E465" s="382">
        <v>0</v>
      </c>
      <c r="F465" s="98">
        <v>17873</v>
      </c>
      <c r="G465" s="98">
        <v>24809</v>
      </c>
      <c r="H465" s="98">
        <v>24809</v>
      </c>
      <c r="I465" s="98">
        <v>24809</v>
      </c>
      <c r="J465" s="98"/>
    </row>
    <row r="466" spans="1:10" ht="14.25" hidden="1">
      <c r="A466" s="74" t="s">
        <v>1228</v>
      </c>
      <c r="B466" s="10" t="s">
        <v>1229</v>
      </c>
      <c r="C466" s="10" t="s">
        <v>446</v>
      </c>
      <c r="D466" s="98">
        <v>73150</v>
      </c>
      <c r="E466" s="382">
        <v>0</v>
      </c>
      <c r="F466" s="98">
        <v>16827</v>
      </c>
      <c r="G466" s="98">
        <v>22962</v>
      </c>
      <c r="H466" s="98">
        <v>22962</v>
      </c>
      <c r="I466" s="98">
        <v>22962</v>
      </c>
      <c r="J466" s="98"/>
    </row>
    <row r="467" spans="1:10" ht="14.25" hidden="1">
      <c r="A467" s="74" t="s">
        <v>1230</v>
      </c>
      <c r="B467" s="10" t="s">
        <v>1231</v>
      </c>
      <c r="C467" s="10" t="s">
        <v>377</v>
      </c>
      <c r="D467" s="98">
        <v>46400</v>
      </c>
      <c r="E467" s="382">
        <v>0</v>
      </c>
      <c r="F467" s="98">
        <v>12031</v>
      </c>
      <c r="G467" s="98">
        <v>14565</v>
      </c>
      <c r="H467" s="98">
        <v>14565</v>
      </c>
      <c r="I467" s="98">
        <v>14565</v>
      </c>
      <c r="J467" s="98"/>
    </row>
    <row r="468" spans="1:10" ht="14.25" hidden="1">
      <c r="A468" s="74" t="s">
        <v>1232</v>
      </c>
      <c r="B468" s="10" t="s">
        <v>1233</v>
      </c>
      <c r="C468" s="10" t="s">
        <v>446</v>
      </c>
      <c r="D468" s="98">
        <v>47378</v>
      </c>
      <c r="E468" s="382">
        <v>0</v>
      </c>
      <c r="F468" s="98">
        <v>12250</v>
      </c>
      <c r="G468" s="98">
        <v>14872</v>
      </c>
      <c r="H468" s="98">
        <v>14872</v>
      </c>
      <c r="I468" s="98">
        <v>14872</v>
      </c>
      <c r="J468" s="98"/>
    </row>
    <row r="469" spans="1:10" ht="14.25" hidden="1">
      <c r="A469" s="74" t="s">
        <v>1234</v>
      </c>
      <c r="B469" s="10" t="s">
        <v>1235</v>
      </c>
      <c r="C469" s="10" t="s">
        <v>446</v>
      </c>
      <c r="D469" s="98">
        <v>40048</v>
      </c>
      <c r="E469" s="382">
        <v>0</v>
      </c>
      <c r="F469" s="98">
        <v>10949</v>
      </c>
      <c r="G469" s="98">
        <v>12571</v>
      </c>
      <c r="H469" s="98">
        <v>12571</v>
      </c>
      <c r="I469" s="98">
        <v>12571</v>
      </c>
      <c r="J469" s="98"/>
    </row>
    <row r="470" spans="1:10" ht="14.25" hidden="1">
      <c r="A470" s="74" t="s">
        <v>1236</v>
      </c>
      <c r="B470" s="10" t="s">
        <v>1237</v>
      </c>
      <c r="C470" s="10" t="s">
        <v>446</v>
      </c>
      <c r="D470" s="98">
        <v>51848</v>
      </c>
      <c r="E470" s="382">
        <v>0</v>
      </c>
      <c r="F470" s="98">
        <v>13044</v>
      </c>
      <c r="G470" s="98">
        <v>16275</v>
      </c>
      <c r="H470" s="98">
        <v>16275</v>
      </c>
      <c r="I470" s="98">
        <v>16275</v>
      </c>
      <c r="J470" s="98"/>
    </row>
    <row r="471" spans="1:10" ht="14.25" hidden="1">
      <c r="A471" s="74" t="s">
        <v>1238</v>
      </c>
      <c r="B471" s="10" t="s">
        <v>1239</v>
      </c>
      <c r="C471" s="10" t="s">
        <v>446</v>
      </c>
      <c r="D471" s="98">
        <v>67140</v>
      </c>
      <c r="E471" s="382">
        <v>0</v>
      </c>
      <c r="F471" s="98">
        <v>15760</v>
      </c>
      <c r="G471" s="98">
        <v>21075</v>
      </c>
      <c r="H471" s="98">
        <v>21075</v>
      </c>
      <c r="I471" s="98">
        <v>21075</v>
      </c>
      <c r="J471" s="98"/>
    </row>
    <row r="472" spans="1:10" ht="14.25" hidden="1">
      <c r="A472" s="74" t="s">
        <v>1240</v>
      </c>
      <c r="B472" s="10" t="s">
        <v>1241</v>
      </c>
      <c r="C472" s="10" t="s">
        <v>396</v>
      </c>
      <c r="D472" s="98">
        <v>14486</v>
      </c>
      <c r="E472" s="382">
        <v>0</v>
      </c>
      <c r="F472" s="98">
        <v>6449</v>
      </c>
      <c r="G472" s="98">
        <v>4547</v>
      </c>
      <c r="H472" s="98">
        <v>4547</v>
      </c>
      <c r="I472" s="98">
        <v>4547</v>
      </c>
      <c r="J472" s="98"/>
    </row>
    <row r="473" spans="1:10" ht="14.25" hidden="1">
      <c r="A473" s="74" t="s">
        <v>1242</v>
      </c>
      <c r="B473" s="10" t="s">
        <v>1243</v>
      </c>
      <c r="C473" s="10" t="s">
        <v>446</v>
      </c>
      <c r="D473" s="98">
        <v>46022</v>
      </c>
      <c r="E473" s="382">
        <v>0</v>
      </c>
      <c r="F473" s="98">
        <v>12010</v>
      </c>
      <c r="G473" s="98">
        <v>14446</v>
      </c>
      <c r="H473" s="98">
        <v>14446</v>
      </c>
      <c r="I473" s="98">
        <v>14446</v>
      </c>
      <c r="J473" s="98"/>
    </row>
    <row r="474" spans="1:10" ht="14.25" hidden="1">
      <c r="A474" s="74" t="s">
        <v>1244</v>
      </c>
      <c r="B474" s="10" t="s">
        <v>1245</v>
      </c>
      <c r="C474" s="10" t="s">
        <v>446</v>
      </c>
      <c r="D474" s="98">
        <v>50400</v>
      </c>
      <c r="E474" s="382">
        <v>0</v>
      </c>
      <c r="F474" s="98">
        <v>12787</v>
      </c>
      <c r="G474" s="98">
        <v>15821</v>
      </c>
      <c r="H474" s="98">
        <v>15821</v>
      </c>
      <c r="I474" s="98">
        <v>15821</v>
      </c>
      <c r="J474" s="98"/>
    </row>
    <row r="475" spans="1:10" ht="14.25" hidden="1">
      <c r="A475" s="74" t="s">
        <v>1246</v>
      </c>
      <c r="B475" s="10" t="s">
        <v>1247</v>
      </c>
      <c r="C475" s="10" t="s">
        <v>446</v>
      </c>
      <c r="D475" s="98">
        <v>62216</v>
      </c>
      <c r="E475" s="382">
        <v>0</v>
      </c>
      <c r="F475" s="98">
        <v>14886</v>
      </c>
      <c r="G475" s="98">
        <v>19530</v>
      </c>
      <c r="H475" s="98">
        <v>19530</v>
      </c>
      <c r="I475" s="98">
        <v>19530</v>
      </c>
      <c r="J475" s="98"/>
    </row>
    <row r="476" spans="1:10" ht="14.25" hidden="1">
      <c r="A476" s="74" t="s">
        <v>1248</v>
      </c>
      <c r="B476" s="10" t="s">
        <v>1249</v>
      </c>
      <c r="C476" s="10" t="s">
        <v>446</v>
      </c>
      <c r="D476" s="98">
        <v>70192</v>
      </c>
      <c r="E476" s="382">
        <v>0</v>
      </c>
      <c r="F476" s="98">
        <v>16302</v>
      </c>
      <c r="G476" s="98">
        <v>22033</v>
      </c>
      <c r="H476" s="98">
        <v>22033</v>
      </c>
      <c r="I476" s="98">
        <v>22033</v>
      </c>
      <c r="J476" s="98"/>
    </row>
    <row r="477" spans="1:10" ht="14.25" hidden="1">
      <c r="A477" s="74" t="s">
        <v>1250</v>
      </c>
      <c r="B477" s="10" t="s">
        <v>1251</v>
      </c>
      <c r="C477" s="10" t="s">
        <v>446</v>
      </c>
      <c r="D477" s="98">
        <v>87460</v>
      </c>
      <c r="E477" s="382">
        <v>0</v>
      </c>
      <c r="F477" s="98">
        <v>19369</v>
      </c>
      <c r="G477" s="98">
        <v>27454</v>
      </c>
      <c r="H477" s="98">
        <v>27454</v>
      </c>
      <c r="I477" s="98">
        <v>27454</v>
      </c>
      <c r="J477" s="98"/>
    </row>
    <row r="478" spans="1:10" ht="14.25" hidden="1">
      <c r="A478" s="74" t="s">
        <v>1252</v>
      </c>
      <c r="B478" s="10" t="s">
        <v>1253</v>
      </c>
      <c r="C478" s="10" t="s">
        <v>377</v>
      </c>
      <c r="D478" s="98">
        <v>71486</v>
      </c>
      <c r="E478" s="382">
        <v>0</v>
      </c>
      <c r="F478" s="98">
        <v>16486</v>
      </c>
      <c r="G478" s="98">
        <v>22439</v>
      </c>
      <c r="H478" s="98">
        <v>22439</v>
      </c>
      <c r="I478" s="98">
        <v>22439</v>
      </c>
      <c r="J478" s="98"/>
    </row>
    <row r="479" spans="1:10" ht="14.25" hidden="1">
      <c r="A479" s="74" t="s">
        <v>1254</v>
      </c>
      <c r="B479" s="10" t="s">
        <v>1255</v>
      </c>
      <c r="C479" s="10" t="s">
        <v>446</v>
      </c>
      <c r="D479" s="98">
        <v>43018</v>
      </c>
      <c r="E479" s="382">
        <v>0</v>
      </c>
      <c r="F479" s="98">
        <v>11476</v>
      </c>
      <c r="G479" s="98">
        <v>13503</v>
      </c>
      <c r="H479" s="98">
        <v>13503</v>
      </c>
      <c r="I479" s="98">
        <v>13503</v>
      </c>
      <c r="J479" s="98"/>
    </row>
    <row r="480" spans="1:10" ht="14.25" hidden="1">
      <c r="A480" s="74" t="s">
        <v>1256</v>
      </c>
      <c r="B480" s="10" t="s">
        <v>1257</v>
      </c>
      <c r="C480" s="10" t="s">
        <v>446</v>
      </c>
      <c r="D480" s="98">
        <v>63412</v>
      </c>
      <c r="E480" s="382">
        <v>0</v>
      </c>
      <c r="F480" s="98">
        <v>15098</v>
      </c>
      <c r="G480" s="98">
        <v>19905</v>
      </c>
      <c r="H480" s="98">
        <v>19905</v>
      </c>
      <c r="I480" s="98">
        <v>19905</v>
      </c>
      <c r="J480" s="98"/>
    </row>
    <row r="481" spans="1:10" ht="14.25" hidden="1">
      <c r="A481" s="74" t="s">
        <v>1258</v>
      </c>
      <c r="B481" s="10" t="s">
        <v>1259</v>
      </c>
      <c r="C481" s="10" t="s">
        <v>446</v>
      </c>
      <c r="D481" s="98">
        <v>57982</v>
      </c>
      <c r="E481" s="382">
        <v>0</v>
      </c>
      <c r="F481" s="98">
        <v>14134</v>
      </c>
      <c r="G481" s="98">
        <v>18201</v>
      </c>
      <c r="H481" s="98">
        <v>18201</v>
      </c>
      <c r="I481" s="98">
        <v>18201</v>
      </c>
      <c r="J481" s="98"/>
    </row>
    <row r="482" spans="1:10" ht="14.25" hidden="1">
      <c r="A482" s="74" t="s">
        <v>1260</v>
      </c>
      <c r="B482" s="10" t="s">
        <v>1261</v>
      </c>
      <c r="C482" s="10" t="s">
        <v>446</v>
      </c>
      <c r="D482" s="98">
        <v>73008</v>
      </c>
      <c r="E482" s="382">
        <v>0</v>
      </c>
      <c r="F482" s="98">
        <v>16802</v>
      </c>
      <c r="G482" s="98">
        <v>22917</v>
      </c>
      <c r="H482" s="98">
        <v>22917</v>
      </c>
      <c r="I482" s="98">
        <v>22917</v>
      </c>
      <c r="J482" s="98"/>
    </row>
    <row r="483" spans="1:10" ht="14.25" hidden="1">
      <c r="A483" s="74" t="s">
        <v>1262</v>
      </c>
      <c r="B483" s="10" t="s">
        <v>1263</v>
      </c>
      <c r="C483" s="10" t="s">
        <v>446</v>
      </c>
      <c r="D483" s="98">
        <v>87460</v>
      </c>
      <c r="E483" s="382">
        <v>0</v>
      </c>
      <c r="F483" s="98">
        <v>19369</v>
      </c>
      <c r="G483" s="98">
        <v>27454</v>
      </c>
      <c r="H483" s="98">
        <v>27454</v>
      </c>
      <c r="I483" s="98">
        <v>27454</v>
      </c>
      <c r="J483" s="98"/>
    </row>
    <row r="484" spans="1:10" ht="14.25" hidden="1">
      <c r="A484" s="74" t="s">
        <v>1264</v>
      </c>
      <c r="B484" s="10" t="s">
        <v>1265</v>
      </c>
      <c r="C484" s="10" t="s">
        <v>446</v>
      </c>
      <c r="D484" s="98">
        <v>68024</v>
      </c>
      <c r="E484" s="382">
        <v>0</v>
      </c>
      <c r="F484" s="98">
        <v>15917</v>
      </c>
      <c r="G484" s="98">
        <v>21353</v>
      </c>
      <c r="H484" s="98">
        <v>21353</v>
      </c>
      <c r="I484" s="98">
        <v>21353</v>
      </c>
      <c r="J484" s="98"/>
    </row>
    <row r="485" spans="1:10" ht="14.25" hidden="1">
      <c r="A485" s="74" t="s">
        <v>1266</v>
      </c>
      <c r="B485" s="10" t="s">
        <v>1267</v>
      </c>
      <c r="C485" s="10" t="s">
        <v>446</v>
      </c>
      <c r="D485" s="98">
        <v>85590</v>
      </c>
      <c r="E485" s="382">
        <v>0</v>
      </c>
      <c r="F485" s="98">
        <v>19037</v>
      </c>
      <c r="G485" s="98">
        <v>26867</v>
      </c>
      <c r="H485" s="98">
        <v>26867</v>
      </c>
      <c r="I485" s="98">
        <v>26867</v>
      </c>
      <c r="J485" s="98"/>
    </row>
    <row r="486" spans="1:10" ht="14.25" hidden="1">
      <c r="A486" s="74" t="s">
        <v>1268</v>
      </c>
      <c r="B486" s="10" t="s">
        <v>1269</v>
      </c>
      <c r="C486" s="10" t="s">
        <v>446</v>
      </c>
      <c r="D486" s="98">
        <v>106362</v>
      </c>
      <c r="E486" s="382">
        <v>0</v>
      </c>
      <c r="F486" s="98">
        <v>22726</v>
      </c>
      <c r="G486" s="98">
        <v>33387</v>
      </c>
      <c r="H486" s="98">
        <v>33387</v>
      </c>
      <c r="I486" s="98">
        <v>33387</v>
      </c>
      <c r="J486" s="98"/>
    </row>
    <row r="487" spans="1:10" ht="14.25" hidden="1">
      <c r="A487" s="74" t="s">
        <v>1270</v>
      </c>
      <c r="B487" s="10" t="s">
        <v>1271</v>
      </c>
      <c r="C487" s="10" t="s">
        <v>446</v>
      </c>
      <c r="D487" s="98">
        <v>101060</v>
      </c>
      <c r="E487" s="382">
        <v>0</v>
      </c>
      <c r="F487" s="98">
        <v>21784</v>
      </c>
      <c r="G487" s="98">
        <v>31723</v>
      </c>
      <c r="H487" s="98">
        <v>31723</v>
      </c>
      <c r="I487" s="98">
        <v>31723</v>
      </c>
      <c r="J487" s="98"/>
    </row>
    <row r="488" spans="1:10" ht="14.25" hidden="1">
      <c r="A488" s="74" t="s">
        <v>1272</v>
      </c>
      <c r="B488" s="10" t="s">
        <v>1273</v>
      </c>
      <c r="C488" s="10" t="s">
        <v>377</v>
      </c>
      <c r="D488" s="98">
        <v>104450</v>
      </c>
      <c r="E488" s="382">
        <v>0</v>
      </c>
      <c r="F488" s="98">
        <v>22340</v>
      </c>
      <c r="G488" s="98">
        <v>32787</v>
      </c>
      <c r="H488" s="98">
        <v>32787</v>
      </c>
      <c r="I488" s="98">
        <v>32787</v>
      </c>
      <c r="J488" s="98"/>
    </row>
    <row r="489" spans="1:10" ht="14.25" hidden="1">
      <c r="A489" s="74" t="s">
        <v>1274</v>
      </c>
      <c r="B489" s="10" t="s">
        <v>1275</v>
      </c>
      <c r="C489" s="10" t="s">
        <v>377</v>
      </c>
      <c r="D489" s="98">
        <v>91922</v>
      </c>
      <c r="E489" s="382">
        <v>0</v>
      </c>
      <c r="F489" s="98">
        <v>20115</v>
      </c>
      <c r="G489" s="98">
        <v>28854</v>
      </c>
      <c r="H489" s="98">
        <v>28854</v>
      </c>
      <c r="I489" s="98">
        <v>28854</v>
      </c>
      <c r="J489" s="98"/>
    </row>
    <row r="490" spans="1:10" ht="14.25" hidden="1">
      <c r="A490" s="74" t="s">
        <v>1276</v>
      </c>
      <c r="B490" s="10" t="s">
        <v>1277</v>
      </c>
      <c r="C490" s="10" t="s">
        <v>446</v>
      </c>
      <c r="D490" s="98">
        <v>98582</v>
      </c>
      <c r="E490" s="382">
        <v>0</v>
      </c>
      <c r="F490" s="98">
        <v>21344</v>
      </c>
      <c r="G490" s="98">
        <v>30945</v>
      </c>
      <c r="H490" s="98">
        <v>30945</v>
      </c>
      <c r="I490" s="98">
        <v>30945</v>
      </c>
      <c r="J490" s="98"/>
    </row>
    <row r="491" spans="1:10" ht="14.25" hidden="1">
      <c r="A491" s="74" t="s">
        <v>1278</v>
      </c>
      <c r="B491" s="10" t="s">
        <v>1279</v>
      </c>
      <c r="C491" s="10" t="s">
        <v>377</v>
      </c>
      <c r="D491" s="98">
        <v>86438</v>
      </c>
      <c r="E491" s="382">
        <v>0</v>
      </c>
      <c r="F491" s="98">
        <v>19141</v>
      </c>
      <c r="G491" s="98">
        <v>27133</v>
      </c>
      <c r="H491" s="98">
        <v>27133</v>
      </c>
      <c r="I491" s="98">
        <v>27133</v>
      </c>
      <c r="J491" s="98"/>
    </row>
    <row r="492" spans="1:10" ht="14.25" hidden="1">
      <c r="A492" s="74" t="s">
        <v>1280</v>
      </c>
      <c r="B492" s="10" t="s">
        <v>1281</v>
      </c>
      <c r="C492" s="10" t="s">
        <v>377</v>
      </c>
      <c r="D492" s="98">
        <v>118530</v>
      </c>
      <c r="E492" s="382">
        <v>0</v>
      </c>
      <c r="F492" s="98">
        <v>24841</v>
      </c>
      <c r="G492" s="98">
        <v>37207</v>
      </c>
      <c r="H492" s="98">
        <v>37207</v>
      </c>
      <c r="I492" s="98">
        <v>37207</v>
      </c>
      <c r="J492" s="98"/>
    </row>
    <row r="493" spans="1:10" ht="14.25" hidden="1">
      <c r="A493" s="74" t="s">
        <v>1282</v>
      </c>
      <c r="B493" s="10" t="s">
        <v>1283</v>
      </c>
      <c r="C493" s="10" t="s">
        <v>377</v>
      </c>
      <c r="D493" s="98">
        <v>93000</v>
      </c>
      <c r="E493" s="382">
        <v>0</v>
      </c>
      <c r="F493" s="98">
        <v>20307</v>
      </c>
      <c r="G493" s="98">
        <v>29193</v>
      </c>
      <c r="H493" s="98">
        <v>29193</v>
      </c>
      <c r="I493" s="98">
        <v>29193</v>
      </c>
      <c r="J493" s="98"/>
    </row>
    <row r="494" spans="1:10" ht="14.25" hidden="1">
      <c r="A494" s="74" t="s">
        <v>1284</v>
      </c>
      <c r="B494" s="10" t="s">
        <v>1285</v>
      </c>
      <c r="C494" s="10" t="s">
        <v>446</v>
      </c>
      <c r="D494" s="98">
        <v>83816</v>
      </c>
      <c r="E494" s="382">
        <v>0</v>
      </c>
      <c r="F494" s="98">
        <v>18722</v>
      </c>
      <c r="G494" s="98">
        <v>26310</v>
      </c>
      <c r="H494" s="98">
        <v>26310</v>
      </c>
      <c r="I494" s="98">
        <v>26310</v>
      </c>
      <c r="J494" s="98"/>
    </row>
    <row r="495" spans="1:10" ht="14.25" hidden="1">
      <c r="A495" s="74" t="s">
        <v>1286</v>
      </c>
      <c r="B495" s="10" t="s">
        <v>1287</v>
      </c>
      <c r="C495" s="10" t="s">
        <v>377</v>
      </c>
      <c r="D495" s="98">
        <v>74098</v>
      </c>
      <c r="E495" s="382">
        <v>0</v>
      </c>
      <c r="F495" s="98">
        <v>16950</v>
      </c>
      <c r="G495" s="98">
        <v>23259</v>
      </c>
      <c r="H495" s="98">
        <v>23259</v>
      </c>
      <c r="I495" s="98">
        <v>23259</v>
      </c>
      <c r="J495" s="98"/>
    </row>
    <row r="496" spans="1:10" ht="14.25" hidden="1">
      <c r="A496" s="74" t="s">
        <v>1288</v>
      </c>
      <c r="B496" s="10" t="s">
        <v>1289</v>
      </c>
      <c r="C496" s="10" t="s">
        <v>446</v>
      </c>
      <c r="D496" s="98">
        <v>87442</v>
      </c>
      <c r="E496" s="382">
        <v>0</v>
      </c>
      <c r="F496" s="98">
        <v>19366</v>
      </c>
      <c r="G496" s="98">
        <v>27448</v>
      </c>
      <c r="H496" s="98">
        <v>27448</v>
      </c>
      <c r="I496" s="98">
        <v>27448</v>
      </c>
      <c r="J496" s="98"/>
    </row>
    <row r="497" spans="1:10" ht="14.25" hidden="1">
      <c r="A497" s="74" t="s">
        <v>1290</v>
      </c>
      <c r="B497" s="10" t="s">
        <v>1291</v>
      </c>
      <c r="C497" s="10" t="s">
        <v>446</v>
      </c>
      <c r="D497" s="98">
        <v>75920</v>
      </c>
      <c r="E497" s="382">
        <v>0</v>
      </c>
      <c r="F497" s="98">
        <v>17319</v>
      </c>
      <c r="G497" s="98">
        <v>23831</v>
      </c>
      <c r="H497" s="98">
        <v>23831</v>
      </c>
      <c r="I497" s="98">
        <v>23831</v>
      </c>
      <c r="J497" s="98"/>
    </row>
    <row r="498" spans="1:10" ht="14.25" hidden="1">
      <c r="A498" s="74" t="s">
        <v>1292</v>
      </c>
      <c r="B498" s="10" t="s">
        <v>1293</v>
      </c>
      <c r="C498" s="10" t="s">
        <v>377</v>
      </c>
      <c r="D498" s="98">
        <v>105358</v>
      </c>
      <c r="E498" s="382">
        <v>0</v>
      </c>
      <c r="F498" s="98">
        <v>22502</v>
      </c>
      <c r="G498" s="98">
        <v>33072</v>
      </c>
      <c r="H498" s="98">
        <v>33072</v>
      </c>
      <c r="I498" s="98">
        <v>33072</v>
      </c>
      <c r="J498" s="98"/>
    </row>
    <row r="499" spans="1:10" ht="14.25" hidden="1">
      <c r="A499" s="74" t="s">
        <v>1294</v>
      </c>
      <c r="B499" s="10" t="s">
        <v>1295</v>
      </c>
      <c r="C499" s="10" t="s">
        <v>446</v>
      </c>
      <c r="D499" s="98">
        <v>87460</v>
      </c>
      <c r="E499" s="382">
        <v>0</v>
      </c>
      <c r="F499" s="98">
        <v>19369</v>
      </c>
      <c r="G499" s="98">
        <v>27454</v>
      </c>
      <c r="H499" s="98">
        <v>27454</v>
      </c>
      <c r="I499" s="98">
        <v>27454</v>
      </c>
      <c r="J499" s="98"/>
    </row>
    <row r="500" spans="1:10" ht="14.25" hidden="1">
      <c r="A500" s="74" t="s">
        <v>1296</v>
      </c>
      <c r="B500" s="10" t="s">
        <v>1297</v>
      </c>
      <c r="C500" s="10" t="s">
        <v>446</v>
      </c>
      <c r="D500" s="98">
        <v>75000</v>
      </c>
      <c r="E500" s="382">
        <v>0</v>
      </c>
      <c r="F500" s="98">
        <v>17156</v>
      </c>
      <c r="G500" s="98">
        <v>23543</v>
      </c>
      <c r="H500" s="98">
        <v>23543</v>
      </c>
      <c r="I500" s="98">
        <v>23543</v>
      </c>
      <c r="J500" s="98"/>
    </row>
    <row r="501" spans="1:10" ht="14.25" hidden="1">
      <c r="A501" s="74" t="s">
        <v>1298</v>
      </c>
      <c r="B501" s="10" t="s">
        <v>1299</v>
      </c>
      <c r="C501" s="10" t="s">
        <v>377</v>
      </c>
      <c r="D501" s="98">
        <v>98774</v>
      </c>
      <c r="E501" s="382">
        <v>0</v>
      </c>
      <c r="F501" s="98">
        <v>21332</v>
      </c>
      <c r="G501" s="98">
        <v>31005</v>
      </c>
      <c r="H501" s="98">
        <v>31005</v>
      </c>
      <c r="I501" s="98">
        <v>31005</v>
      </c>
      <c r="J501" s="98"/>
    </row>
    <row r="502" spans="1:10" ht="14.25" hidden="1">
      <c r="A502" s="74" t="s">
        <v>1300</v>
      </c>
      <c r="B502" s="10" t="s">
        <v>1301</v>
      </c>
      <c r="C502" s="10" t="s">
        <v>446</v>
      </c>
      <c r="D502" s="98">
        <v>87460</v>
      </c>
      <c r="E502" s="382">
        <v>0</v>
      </c>
      <c r="F502" s="98">
        <v>19369</v>
      </c>
      <c r="G502" s="98">
        <v>27454</v>
      </c>
      <c r="H502" s="98">
        <v>27454</v>
      </c>
      <c r="I502" s="98">
        <v>27454</v>
      </c>
      <c r="J502" s="98"/>
    </row>
    <row r="503" spans="1:10" ht="14.25" hidden="1">
      <c r="A503" s="74" t="s">
        <v>1302</v>
      </c>
      <c r="B503" s="10" t="s">
        <v>1303</v>
      </c>
      <c r="C503" s="10" t="s">
        <v>446</v>
      </c>
      <c r="D503" s="98">
        <v>88962</v>
      </c>
      <c r="E503" s="382">
        <v>0</v>
      </c>
      <c r="F503" s="98">
        <v>19636</v>
      </c>
      <c r="G503" s="98">
        <v>27925</v>
      </c>
      <c r="H503" s="98">
        <v>27925</v>
      </c>
      <c r="I503" s="98">
        <v>27925</v>
      </c>
      <c r="J503" s="98"/>
    </row>
    <row r="504" spans="1:10" ht="14.25" hidden="1">
      <c r="A504" s="74" t="s">
        <v>1304</v>
      </c>
      <c r="B504" s="10" t="s">
        <v>1305</v>
      </c>
      <c r="C504" s="10" t="s">
        <v>446</v>
      </c>
      <c r="D504" s="98">
        <v>79360</v>
      </c>
      <c r="E504" s="382">
        <v>0</v>
      </c>
      <c r="F504" s="98">
        <v>17930</v>
      </c>
      <c r="G504" s="98">
        <v>24911</v>
      </c>
      <c r="H504" s="98">
        <v>24911</v>
      </c>
      <c r="I504" s="98">
        <v>24911</v>
      </c>
      <c r="J504" s="98"/>
    </row>
    <row r="505" spans="1:10" ht="14.25" hidden="1">
      <c r="A505" s="74" t="s">
        <v>1306</v>
      </c>
      <c r="B505" s="10" t="s">
        <v>1307</v>
      </c>
      <c r="C505" s="10" t="s">
        <v>446</v>
      </c>
      <c r="D505" s="98">
        <v>100266</v>
      </c>
      <c r="E505" s="382">
        <v>0</v>
      </c>
      <c r="F505" s="98">
        <v>21643</v>
      </c>
      <c r="G505" s="98">
        <v>31473</v>
      </c>
      <c r="H505" s="98">
        <v>31473</v>
      </c>
      <c r="I505" s="98">
        <v>31473</v>
      </c>
      <c r="J505" s="98"/>
    </row>
    <row r="506" spans="1:10" ht="14.25" hidden="1">
      <c r="A506" s="74" t="s">
        <v>1308</v>
      </c>
      <c r="B506" s="10" t="s">
        <v>1309</v>
      </c>
      <c r="C506" s="10" t="s">
        <v>446</v>
      </c>
      <c r="D506" s="98">
        <v>52780</v>
      </c>
      <c r="E506" s="382">
        <v>0</v>
      </c>
      <c r="F506" s="98">
        <v>13210</v>
      </c>
      <c r="G506" s="98">
        <v>16568</v>
      </c>
      <c r="H506" s="98">
        <v>16568</v>
      </c>
      <c r="I506" s="98">
        <v>16568</v>
      </c>
      <c r="J506" s="98"/>
    </row>
    <row r="507" spans="1:10" ht="14.25" hidden="1">
      <c r="A507" s="74" t="s">
        <v>1310</v>
      </c>
      <c r="B507" s="10" t="s">
        <v>1311</v>
      </c>
      <c r="C507" s="10" t="s">
        <v>446</v>
      </c>
      <c r="D507" s="98">
        <v>43978</v>
      </c>
      <c r="E507" s="382">
        <v>0</v>
      </c>
      <c r="F507" s="98">
        <v>11646</v>
      </c>
      <c r="G507" s="98">
        <v>13805</v>
      </c>
      <c r="H507" s="98">
        <v>13805</v>
      </c>
      <c r="I507" s="98">
        <v>13805</v>
      </c>
      <c r="J507" s="98"/>
    </row>
    <row r="508" spans="1:10" ht="14.25" hidden="1">
      <c r="A508" s="74" t="s">
        <v>1312</v>
      </c>
      <c r="B508" s="10" t="s">
        <v>1313</v>
      </c>
      <c r="C508" s="10" t="s">
        <v>446</v>
      </c>
      <c r="D508" s="98">
        <v>54882</v>
      </c>
      <c r="E508" s="382">
        <v>0</v>
      </c>
      <c r="F508" s="98">
        <v>13583</v>
      </c>
      <c r="G508" s="98">
        <v>17227</v>
      </c>
      <c r="H508" s="98">
        <v>17227</v>
      </c>
      <c r="I508" s="98">
        <v>17227</v>
      </c>
      <c r="J508" s="98"/>
    </row>
    <row r="509" spans="1:10" ht="14.25" hidden="1">
      <c r="A509" s="74" t="s">
        <v>1314</v>
      </c>
      <c r="B509" s="10" t="s">
        <v>1315</v>
      </c>
      <c r="C509" s="10" t="s">
        <v>377</v>
      </c>
      <c r="D509" s="98">
        <v>100266</v>
      </c>
      <c r="E509" s="382">
        <v>0</v>
      </c>
      <c r="F509" s="98">
        <v>21597</v>
      </c>
      <c r="G509" s="98">
        <v>31473</v>
      </c>
      <c r="H509" s="98">
        <v>31473</v>
      </c>
      <c r="I509" s="98">
        <v>31473</v>
      </c>
      <c r="J509" s="98"/>
    </row>
    <row r="510" spans="1:10" ht="14.25" hidden="1">
      <c r="A510" s="74" t="s">
        <v>1316</v>
      </c>
      <c r="B510" s="10" t="s">
        <v>1317</v>
      </c>
      <c r="C510" s="10" t="s">
        <v>377</v>
      </c>
      <c r="D510" s="98">
        <v>73000</v>
      </c>
      <c r="E510" s="382">
        <v>0</v>
      </c>
      <c r="F510" s="98">
        <v>16755</v>
      </c>
      <c r="G510" s="98">
        <v>22915</v>
      </c>
      <c r="H510" s="98">
        <v>22915</v>
      </c>
      <c r="I510" s="98">
        <v>22915</v>
      </c>
      <c r="J510" s="98"/>
    </row>
    <row r="511" spans="1:10" ht="14.25" hidden="1">
      <c r="A511" s="74" t="s">
        <v>1318</v>
      </c>
      <c r="B511" s="10" t="s">
        <v>1319</v>
      </c>
      <c r="C511" s="10" t="s">
        <v>377</v>
      </c>
      <c r="D511" s="98">
        <v>106164</v>
      </c>
      <c r="E511" s="382">
        <v>0</v>
      </c>
      <c r="F511" s="98">
        <v>22645</v>
      </c>
      <c r="G511" s="98">
        <v>33325</v>
      </c>
      <c r="H511" s="98">
        <v>33325</v>
      </c>
      <c r="I511" s="98">
        <v>33325</v>
      </c>
      <c r="J511" s="98"/>
    </row>
    <row r="512" spans="1:10" ht="14.25" hidden="1">
      <c r="A512" s="74" t="s">
        <v>1320</v>
      </c>
      <c r="B512" s="10" t="s">
        <v>1321</v>
      </c>
      <c r="C512" s="10" t="s">
        <v>377</v>
      </c>
      <c r="D512" s="98">
        <v>90100</v>
      </c>
      <c r="E512" s="382">
        <v>0</v>
      </c>
      <c r="F512" s="98">
        <v>19792</v>
      </c>
      <c r="G512" s="98">
        <v>28282</v>
      </c>
      <c r="H512" s="98">
        <v>28282</v>
      </c>
      <c r="I512" s="98">
        <v>28282</v>
      </c>
      <c r="J512" s="98"/>
    </row>
    <row r="513" spans="1:10" ht="14.25" hidden="1">
      <c r="A513" s="74" t="s">
        <v>1322</v>
      </c>
      <c r="B513" s="10" t="s">
        <v>1323</v>
      </c>
      <c r="C513" s="10" t="s">
        <v>377</v>
      </c>
      <c r="D513" s="98">
        <v>96912</v>
      </c>
      <c r="E513" s="382">
        <v>0</v>
      </c>
      <c r="F513" s="98">
        <v>21002</v>
      </c>
      <c r="G513" s="98">
        <v>30421</v>
      </c>
      <c r="H513" s="98">
        <v>30421</v>
      </c>
      <c r="I513" s="98">
        <v>30421</v>
      </c>
      <c r="J513" s="98"/>
    </row>
    <row r="514" spans="1:10" ht="14.25" hidden="1">
      <c r="A514" s="74" t="s">
        <v>1324</v>
      </c>
      <c r="B514" s="10" t="s">
        <v>1325</v>
      </c>
      <c r="C514" s="10" t="s">
        <v>446</v>
      </c>
      <c r="D514" s="98">
        <v>68436</v>
      </c>
      <c r="E514" s="382">
        <v>0</v>
      </c>
      <c r="F514" s="98">
        <v>15990</v>
      </c>
      <c r="G514" s="98">
        <v>21482</v>
      </c>
      <c r="H514" s="98">
        <v>21482</v>
      </c>
      <c r="I514" s="98">
        <v>21482</v>
      </c>
      <c r="J514" s="98"/>
    </row>
    <row r="515" spans="1:10" ht="14.25" hidden="1">
      <c r="A515" s="74" t="s">
        <v>1326</v>
      </c>
      <c r="B515" s="10" t="s">
        <v>1327</v>
      </c>
      <c r="C515" s="10" t="s">
        <v>377</v>
      </c>
      <c r="D515" s="98">
        <v>105358</v>
      </c>
      <c r="E515" s="382">
        <v>0</v>
      </c>
      <c r="F515" s="98">
        <v>22502</v>
      </c>
      <c r="G515" s="98">
        <v>33072</v>
      </c>
      <c r="H515" s="98">
        <v>33072</v>
      </c>
      <c r="I515" s="98">
        <v>33072</v>
      </c>
      <c r="J515" s="98"/>
    </row>
    <row r="516" spans="1:10" ht="14.25" hidden="1">
      <c r="A516" s="74" t="s">
        <v>1328</v>
      </c>
      <c r="B516" s="10" t="s">
        <v>1329</v>
      </c>
      <c r="C516" s="10" t="s">
        <v>446</v>
      </c>
      <c r="D516" s="98">
        <v>0</v>
      </c>
      <c r="E516" s="382">
        <v>48.93</v>
      </c>
      <c r="F516" s="98">
        <v>3836</v>
      </c>
      <c r="G516" s="98">
        <v>0</v>
      </c>
      <c r="H516" s="98">
        <v>0</v>
      </c>
      <c r="I516" s="98">
        <v>0</v>
      </c>
      <c r="J516" s="98"/>
    </row>
    <row r="517" spans="1:10" ht="14.25" hidden="1">
      <c r="A517" s="74" t="s">
        <v>1330</v>
      </c>
      <c r="B517" s="10" t="s">
        <v>1331</v>
      </c>
      <c r="C517" s="10" t="s">
        <v>446</v>
      </c>
      <c r="D517" s="98">
        <v>0</v>
      </c>
      <c r="E517" s="382">
        <v>33.14</v>
      </c>
      <c r="F517" s="98">
        <v>3836</v>
      </c>
      <c r="G517" s="98">
        <v>0</v>
      </c>
      <c r="H517" s="98">
        <v>0</v>
      </c>
      <c r="I517" s="98">
        <v>0</v>
      </c>
      <c r="J517" s="98"/>
    </row>
    <row r="518" spans="1:10" ht="14.25" hidden="1">
      <c r="A518" s="74" t="s">
        <v>1332</v>
      </c>
      <c r="B518" s="10" t="s">
        <v>1333</v>
      </c>
      <c r="C518" s="10" t="s">
        <v>446</v>
      </c>
      <c r="D518" s="98">
        <v>0</v>
      </c>
      <c r="E518" s="382">
        <v>26.49</v>
      </c>
      <c r="F518" s="98">
        <v>3836</v>
      </c>
      <c r="G518" s="98">
        <v>0</v>
      </c>
      <c r="H518" s="98">
        <v>0</v>
      </c>
      <c r="I518" s="98">
        <v>0</v>
      </c>
      <c r="J518" s="98"/>
    </row>
    <row r="519" spans="1:10" ht="14.25" hidden="1">
      <c r="A519" s="74" t="s">
        <v>1334</v>
      </c>
      <c r="B519" s="10" t="s">
        <v>1335</v>
      </c>
      <c r="C519" s="10" t="s">
        <v>396</v>
      </c>
      <c r="D519" s="98">
        <v>0</v>
      </c>
      <c r="E519" s="382">
        <v>16.25</v>
      </c>
      <c r="F519" s="98">
        <v>3876</v>
      </c>
      <c r="G519" s="98">
        <v>0</v>
      </c>
      <c r="H519" s="98">
        <v>0</v>
      </c>
      <c r="I519" s="98">
        <v>0</v>
      </c>
      <c r="J519" s="98"/>
    </row>
    <row r="520" spans="1:10" ht="14.25" hidden="1">
      <c r="A520" s="74" t="s">
        <v>1336</v>
      </c>
      <c r="B520" s="10" t="s">
        <v>1337</v>
      </c>
      <c r="C520" s="10" t="s">
        <v>396</v>
      </c>
      <c r="D520" s="98">
        <v>0</v>
      </c>
      <c r="E520" s="382">
        <v>14.17</v>
      </c>
      <c r="F520" s="98">
        <v>3876</v>
      </c>
      <c r="G520" s="98">
        <v>0</v>
      </c>
      <c r="H520" s="98">
        <v>0</v>
      </c>
      <c r="I520" s="98">
        <v>0</v>
      </c>
      <c r="J520" s="98"/>
    </row>
    <row r="521" spans="1:10" ht="14.25" hidden="1">
      <c r="A521" s="74" t="s">
        <v>1338</v>
      </c>
      <c r="B521" s="10" t="s">
        <v>1339</v>
      </c>
      <c r="C521" s="10" t="s">
        <v>396</v>
      </c>
      <c r="D521" s="98">
        <v>0</v>
      </c>
      <c r="E521" s="382">
        <v>13.43</v>
      </c>
      <c r="F521" s="98">
        <v>3876</v>
      </c>
      <c r="G521" s="98">
        <v>0</v>
      </c>
      <c r="H521" s="98">
        <v>0</v>
      </c>
      <c r="I521" s="98">
        <v>0</v>
      </c>
      <c r="J521" s="98"/>
    </row>
    <row r="522" spans="1:10" ht="14.25" hidden="1">
      <c r="A522" s="74" t="s">
        <v>1340</v>
      </c>
      <c r="B522" s="10" t="s">
        <v>1341</v>
      </c>
      <c r="C522" s="10" t="s">
        <v>446</v>
      </c>
      <c r="D522" s="98">
        <v>0</v>
      </c>
      <c r="E522" s="382">
        <v>16.600000000000001</v>
      </c>
      <c r="F522" s="98">
        <v>3836</v>
      </c>
      <c r="G522" s="98">
        <v>0</v>
      </c>
      <c r="H522" s="98">
        <v>0</v>
      </c>
      <c r="I522" s="98">
        <v>0</v>
      </c>
      <c r="J522" s="98"/>
    </row>
    <row r="523" spans="1:10" ht="14.25" hidden="1">
      <c r="A523" s="74" t="s">
        <v>1342</v>
      </c>
      <c r="B523" s="10" t="s">
        <v>1343</v>
      </c>
      <c r="C523" s="10" t="s">
        <v>446</v>
      </c>
      <c r="D523" s="98">
        <v>0</v>
      </c>
      <c r="E523" s="382">
        <v>28.52</v>
      </c>
      <c r="F523" s="98">
        <v>3836</v>
      </c>
      <c r="G523" s="98">
        <v>0</v>
      </c>
      <c r="H523" s="98">
        <v>0</v>
      </c>
      <c r="I523" s="98">
        <v>0</v>
      </c>
      <c r="J523" s="98"/>
    </row>
    <row r="524" spans="1:10" ht="14.25" hidden="1">
      <c r="A524" s="74" t="s">
        <v>1344</v>
      </c>
      <c r="B524" s="10" t="s">
        <v>1345</v>
      </c>
      <c r="C524" s="10" t="s">
        <v>446</v>
      </c>
      <c r="D524" s="98">
        <v>0</v>
      </c>
      <c r="E524" s="382">
        <v>30.26</v>
      </c>
      <c r="F524" s="98">
        <v>3836</v>
      </c>
      <c r="G524" s="98">
        <v>0</v>
      </c>
      <c r="H524" s="98">
        <v>0</v>
      </c>
      <c r="I524" s="98">
        <v>0</v>
      </c>
      <c r="J524" s="98"/>
    </row>
    <row r="525" spans="1:10" ht="14.25" hidden="1">
      <c r="A525" s="74" t="s">
        <v>1346</v>
      </c>
      <c r="B525" s="10" t="s">
        <v>1347</v>
      </c>
      <c r="C525" s="10" t="s">
        <v>446</v>
      </c>
      <c r="D525" s="98">
        <v>0</v>
      </c>
      <c r="E525" s="382">
        <v>10</v>
      </c>
      <c r="F525" s="98">
        <v>3836</v>
      </c>
      <c r="G525" s="98">
        <v>0</v>
      </c>
      <c r="H525" s="98">
        <v>0</v>
      </c>
      <c r="I525" s="98">
        <v>0</v>
      </c>
      <c r="J525" s="98"/>
    </row>
    <row r="526" spans="1:10" ht="14.25">
      <c r="A526" s="74" t="s">
        <v>1348</v>
      </c>
      <c r="B526" s="10" t="s">
        <v>1349</v>
      </c>
      <c r="C526" s="10" t="s">
        <v>458</v>
      </c>
      <c r="D526" s="98">
        <v>0</v>
      </c>
      <c r="E526" s="382">
        <v>13.53</v>
      </c>
      <c r="F526" s="98">
        <v>3610</v>
      </c>
      <c r="G526" s="98">
        <v>0</v>
      </c>
      <c r="H526" s="98">
        <v>0</v>
      </c>
      <c r="I526" s="98">
        <v>0</v>
      </c>
      <c r="J526" s="98"/>
    </row>
    <row r="527" spans="1:10" ht="14.25">
      <c r="A527" s="74" t="s">
        <v>1350</v>
      </c>
      <c r="B527" s="10" t="s">
        <v>1351</v>
      </c>
      <c r="C527" s="10" t="s">
        <v>458</v>
      </c>
      <c r="D527" s="98">
        <v>0</v>
      </c>
      <c r="E527" s="382">
        <v>14.91</v>
      </c>
      <c r="F527" s="98">
        <v>3610</v>
      </c>
      <c r="G527" s="98">
        <v>0</v>
      </c>
      <c r="H527" s="98">
        <v>0</v>
      </c>
      <c r="I527" s="98">
        <v>0</v>
      </c>
      <c r="J527" s="98"/>
    </row>
    <row r="528" spans="1:10" ht="14.25">
      <c r="A528" s="74" t="s">
        <v>1352</v>
      </c>
      <c r="B528" s="10" t="s">
        <v>1353</v>
      </c>
      <c r="C528" s="10" t="s">
        <v>458</v>
      </c>
      <c r="D528" s="98">
        <v>0</v>
      </c>
      <c r="E528" s="382">
        <v>12.54</v>
      </c>
      <c r="F528" s="98">
        <v>3610</v>
      </c>
      <c r="G528" s="98">
        <v>0</v>
      </c>
      <c r="H528" s="98">
        <v>0</v>
      </c>
      <c r="I528" s="98">
        <v>0</v>
      </c>
      <c r="J528" s="98"/>
    </row>
    <row r="529" spans="1:10" ht="14.25">
      <c r="A529" s="74" t="s">
        <v>1354</v>
      </c>
      <c r="B529" s="10" t="s">
        <v>1355</v>
      </c>
      <c r="C529" s="10" t="s">
        <v>458</v>
      </c>
      <c r="D529" s="98">
        <v>0</v>
      </c>
      <c r="E529" s="382">
        <v>12.3</v>
      </c>
      <c r="F529" s="98">
        <v>3610</v>
      </c>
      <c r="G529" s="98">
        <v>0</v>
      </c>
      <c r="H529" s="98">
        <v>0</v>
      </c>
      <c r="I529" s="98">
        <v>0</v>
      </c>
      <c r="J529" s="98"/>
    </row>
    <row r="530" spans="1:10" ht="14.25">
      <c r="A530" s="74" t="s">
        <v>1356</v>
      </c>
      <c r="B530" s="10" t="s">
        <v>1357</v>
      </c>
      <c r="C530" s="10" t="s">
        <v>458</v>
      </c>
      <c r="D530" s="98">
        <v>0</v>
      </c>
      <c r="E530" s="382">
        <v>15.5</v>
      </c>
      <c r="F530" s="98">
        <v>3610</v>
      </c>
      <c r="G530" s="98">
        <v>0</v>
      </c>
      <c r="H530" s="98">
        <v>0</v>
      </c>
      <c r="I530" s="98">
        <v>0</v>
      </c>
      <c r="J530" s="98"/>
    </row>
    <row r="531" spans="1:10" ht="14.25">
      <c r="A531" s="74" t="s">
        <v>1358</v>
      </c>
      <c r="B531" s="10" t="s">
        <v>1359</v>
      </c>
      <c r="C531" s="10" t="s">
        <v>458</v>
      </c>
      <c r="D531" s="98">
        <v>0</v>
      </c>
      <c r="E531" s="382">
        <v>13.73</v>
      </c>
      <c r="F531" s="98">
        <v>3610</v>
      </c>
      <c r="G531" s="98">
        <v>0</v>
      </c>
      <c r="H531" s="98">
        <v>0</v>
      </c>
      <c r="I531" s="98">
        <v>0</v>
      </c>
      <c r="J531" s="98"/>
    </row>
    <row r="532" spans="1:10" ht="14.25">
      <c r="A532" s="74" t="s">
        <v>1360</v>
      </c>
      <c r="B532" s="10" t="s">
        <v>1361</v>
      </c>
      <c r="C532" s="10" t="s">
        <v>458</v>
      </c>
      <c r="D532" s="98">
        <v>0</v>
      </c>
      <c r="E532" s="382">
        <v>12.88</v>
      </c>
      <c r="F532" s="98">
        <v>3610</v>
      </c>
      <c r="G532" s="98">
        <v>0</v>
      </c>
      <c r="H532" s="98">
        <v>0</v>
      </c>
      <c r="I532" s="98">
        <v>0</v>
      </c>
      <c r="J532" s="98"/>
    </row>
    <row r="533" spans="1:10" ht="14.25">
      <c r="A533" s="74" t="s">
        <v>1362</v>
      </c>
      <c r="B533" s="10" t="s">
        <v>1363</v>
      </c>
      <c r="C533" s="10" t="s">
        <v>458</v>
      </c>
      <c r="D533" s="98">
        <v>0</v>
      </c>
      <c r="E533" s="382">
        <v>13.8</v>
      </c>
      <c r="F533" s="98">
        <v>3610</v>
      </c>
      <c r="G533" s="98">
        <v>0</v>
      </c>
      <c r="H533" s="98">
        <v>0</v>
      </c>
      <c r="I533" s="98">
        <v>0</v>
      </c>
      <c r="J533" s="98"/>
    </row>
    <row r="534" spans="1:10" ht="14.25">
      <c r="A534" s="74" t="s">
        <v>1364</v>
      </c>
      <c r="B534" s="10" t="s">
        <v>1365</v>
      </c>
      <c r="C534" s="10" t="s">
        <v>458</v>
      </c>
      <c r="D534" s="98">
        <v>0</v>
      </c>
      <c r="E534" s="382">
        <v>12.2</v>
      </c>
      <c r="F534" s="98">
        <v>3610</v>
      </c>
      <c r="G534" s="98">
        <v>0</v>
      </c>
      <c r="H534" s="98">
        <v>0</v>
      </c>
      <c r="I534" s="98">
        <v>0</v>
      </c>
      <c r="J534" s="98"/>
    </row>
    <row r="535" spans="1:10" ht="14.25">
      <c r="A535" s="74" t="s">
        <v>1366</v>
      </c>
      <c r="B535" s="10" t="s">
        <v>1367</v>
      </c>
      <c r="C535" s="10" t="s">
        <v>458</v>
      </c>
      <c r="D535" s="98">
        <v>0</v>
      </c>
      <c r="E535" s="382">
        <v>13.43</v>
      </c>
      <c r="F535" s="98">
        <v>3610</v>
      </c>
      <c r="G535" s="98">
        <v>0</v>
      </c>
      <c r="H535" s="98">
        <v>0</v>
      </c>
      <c r="I535" s="98">
        <v>0</v>
      </c>
      <c r="J535" s="98"/>
    </row>
    <row r="536" spans="1:10" ht="14.25">
      <c r="A536" s="74" t="s">
        <v>1368</v>
      </c>
      <c r="B536" s="10" t="s">
        <v>1369</v>
      </c>
      <c r="C536" s="10" t="s">
        <v>458</v>
      </c>
      <c r="D536" s="98">
        <v>0</v>
      </c>
      <c r="E536" s="382">
        <v>12.14</v>
      </c>
      <c r="F536" s="98">
        <v>3610</v>
      </c>
      <c r="G536" s="98">
        <v>0</v>
      </c>
      <c r="H536" s="98">
        <v>0</v>
      </c>
      <c r="I536" s="98">
        <v>0</v>
      </c>
      <c r="J536" s="98"/>
    </row>
    <row r="537" spans="1:10" ht="14.25">
      <c r="A537" s="74" t="s">
        <v>1370</v>
      </c>
      <c r="B537" s="10" t="s">
        <v>1371</v>
      </c>
      <c r="C537" s="10" t="s">
        <v>458</v>
      </c>
      <c r="D537" s="98">
        <v>0</v>
      </c>
      <c r="E537" s="382">
        <v>13.12</v>
      </c>
      <c r="F537" s="98">
        <v>3610</v>
      </c>
      <c r="G537" s="98">
        <v>0</v>
      </c>
      <c r="H537" s="98">
        <v>0</v>
      </c>
      <c r="I537" s="98">
        <v>0</v>
      </c>
      <c r="J537" s="98"/>
    </row>
    <row r="538" spans="1:10" ht="14.25">
      <c r="A538" s="74" t="s">
        <v>1372</v>
      </c>
      <c r="B538" s="10" t="s">
        <v>1373</v>
      </c>
      <c r="C538" s="10" t="s">
        <v>458</v>
      </c>
      <c r="D538" s="98">
        <v>0</v>
      </c>
      <c r="E538" s="382">
        <v>14.07</v>
      </c>
      <c r="F538" s="98">
        <v>3610</v>
      </c>
      <c r="G538" s="98">
        <v>0</v>
      </c>
      <c r="H538" s="98">
        <v>0</v>
      </c>
      <c r="I538" s="98">
        <v>0</v>
      </c>
      <c r="J538" s="98"/>
    </row>
    <row r="539" spans="1:10" ht="14.25">
      <c r="A539" s="74" t="s">
        <v>1374</v>
      </c>
      <c r="B539" s="10" t="s">
        <v>1375</v>
      </c>
      <c r="C539" s="10" t="s">
        <v>458</v>
      </c>
      <c r="D539" s="98">
        <v>0</v>
      </c>
      <c r="E539" s="382">
        <v>17.72</v>
      </c>
      <c r="F539" s="98">
        <v>3610</v>
      </c>
      <c r="G539" s="98">
        <v>0</v>
      </c>
      <c r="H539" s="98">
        <v>0</v>
      </c>
      <c r="I539" s="98">
        <v>0</v>
      </c>
      <c r="J539" s="98"/>
    </row>
    <row r="540" spans="1:10" ht="14.25">
      <c r="A540" s="74" t="s">
        <v>1376</v>
      </c>
      <c r="B540" s="10" t="s">
        <v>1377</v>
      </c>
      <c r="C540" s="10" t="s">
        <v>458</v>
      </c>
      <c r="D540" s="98">
        <v>0</v>
      </c>
      <c r="E540" s="382">
        <v>14.06</v>
      </c>
      <c r="F540" s="98">
        <v>3610</v>
      </c>
      <c r="G540" s="98">
        <v>0</v>
      </c>
      <c r="H540" s="98">
        <v>0</v>
      </c>
      <c r="I540" s="98">
        <v>0</v>
      </c>
      <c r="J540" s="98"/>
    </row>
    <row r="541" spans="1:10" ht="14.25">
      <c r="A541" s="74" t="s">
        <v>1378</v>
      </c>
      <c r="B541" s="10" t="s">
        <v>1379</v>
      </c>
      <c r="C541" s="10" t="s">
        <v>458</v>
      </c>
      <c r="D541" s="98">
        <v>0</v>
      </c>
      <c r="E541" s="382">
        <v>13.57</v>
      </c>
      <c r="F541" s="98">
        <v>3610</v>
      </c>
      <c r="G541" s="98">
        <v>0</v>
      </c>
      <c r="H541" s="98">
        <v>0</v>
      </c>
      <c r="I541" s="98">
        <v>0</v>
      </c>
      <c r="J541" s="98"/>
    </row>
    <row r="542" spans="1:10" ht="14.25">
      <c r="A542" s="74" t="s">
        <v>1380</v>
      </c>
      <c r="B542" s="10" t="s">
        <v>1381</v>
      </c>
      <c r="C542" s="10" t="s">
        <v>458</v>
      </c>
      <c r="D542" s="98">
        <v>0</v>
      </c>
      <c r="E542" s="382">
        <v>15.48</v>
      </c>
      <c r="F542" s="98">
        <v>3610</v>
      </c>
      <c r="G542" s="98">
        <v>0</v>
      </c>
      <c r="H542" s="98">
        <v>0</v>
      </c>
      <c r="I542" s="98">
        <v>0</v>
      </c>
      <c r="J542" s="98"/>
    </row>
    <row r="543" spans="1:10" ht="14.25" hidden="1">
      <c r="A543" s="74" t="s">
        <v>1382</v>
      </c>
      <c r="B543" s="10" t="s">
        <v>1383</v>
      </c>
      <c r="C543" s="10" t="s">
        <v>446</v>
      </c>
      <c r="D543" s="98">
        <v>0</v>
      </c>
      <c r="E543" s="382">
        <v>39.409999999999997</v>
      </c>
      <c r="F543" s="98">
        <v>3836</v>
      </c>
      <c r="G543" s="98">
        <v>0</v>
      </c>
      <c r="H543" s="98">
        <v>0</v>
      </c>
      <c r="I543" s="98">
        <v>0</v>
      </c>
      <c r="J543" s="98"/>
    </row>
    <row r="544" spans="1:10" ht="14.25" hidden="1">
      <c r="A544" s="74" t="s">
        <v>1384</v>
      </c>
      <c r="B544" s="10" t="s">
        <v>1385</v>
      </c>
      <c r="C544" s="10" t="s">
        <v>446</v>
      </c>
      <c r="D544" s="98">
        <v>0</v>
      </c>
      <c r="E544" s="382">
        <v>55.06</v>
      </c>
      <c r="F544" s="98">
        <v>3836</v>
      </c>
      <c r="G544" s="98">
        <v>0</v>
      </c>
      <c r="H544" s="98">
        <v>0</v>
      </c>
      <c r="I544" s="98">
        <v>0</v>
      </c>
      <c r="J544" s="98"/>
    </row>
    <row r="545" spans="1:10" ht="14.25" hidden="1">
      <c r="A545" s="74" t="s">
        <v>1386</v>
      </c>
      <c r="B545" s="10" t="s">
        <v>1387</v>
      </c>
      <c r="C545" s="10" t="s">
        <v>446</v>
      </c>
      <c r="D545" s="98">
        <v>0</v>
      </c>
      <c r="E545" s="382">
        <v>11.98</v>
      </c>
      <c r="F545" s="98">
        <v>3836</v>
      </c>
      <c r="G545" s="98">
        <v>0</v>
      </c>
      <c r="H545" s="98">
        <v>0</v>
      </c>
      <c r="I545" s="98">
        <v>0</v>
      </c>
      <c r="J545" s="98"/>
    </row>
    <row r="546" spans="1:10" ht="14.25" hidden="1">
      <c r="A546" s="74" t="s">
        <v>1388</v>
      </c>
      <c r="B546" s="10" t="s">
        <v>1389</v>
      </c>
      <c r="C546" s="10" t="s">
        <v>446</v>
      </c>
      <c r="D546" s="98">
        <v>0</v>
      </c>
      <c r="E546" s="382">
        <v>30.98</v>
      </c>
      <c r="F546" s="98">
        <v>3836</v>
      </c>
      <c r="G546" s="98">
        <v>0</v>
      </c>
      <c r="H546" s="98">
        <v>0</v>
      </c>
      <c r="I546" s="98">
        <v>0</v>
      </c>
      <c r="J546" s="98"/>
    </row>
    <row r="547" spans="1:10" ht="14.25" hidden="1">
      <c r="A547" s="74" t="s">
        <v>1390</v>
      </c>
      <c r="B547" s="10" t="s">
        <v>1391</v>
      </c>
      <c r="C547" s="10" t="s">
        <v>446</v>
      </c>
      <c r="D547" s="98">
        <v>0</v>
      </c>
      <c r="E547" s="382">
        <v>34.020000000000003</v>
      </c>
      <c r="F547" s="98">
        <v>3836</v>
      </c>
      <c r="G547" s="98">
        <v>0</v>
      </c>
      <c r="H547" s="98">
        <v>0</v>
      </c>
      <c r="I547" s="98">
        <v>0</v>
      </c>
      <c r="J547" s="98"/>
    </row>
    <row r="548" spans="1:10" ht="14.25" hidden="1">
      <c r="A548" s="74" t="s">
        <v>1392</v>
      </c>
      <c r="B548" s="10" t="s">
        <v>1393</v>
      </c>
      <c r="C548" s="10" t="s">
        <v>446</v>
      </c>
      <c r="D548" s="98">
        <v>0</v>
      </c>
      <c r="E548" s="382">
        <v>34.020000000000003</v>
      </c>
      <c r="F548" s="98">
        <v>3836</v>
      </c>
      <c r="G548" s="98">
        <v>0</v>
      </c>
      <c r="H548" s="98">
        <v>0</v>
      </c>
      <c r="I548" s="98">
        <v>0</v>
      </c>
      <c r="J548" s="98"/>
    </row>
    <row r="549" spans="1:10" ht="14.25" hidden="1">
      <c r="A549" s="74" t="s">
        <v>1394</v>
      </c>
      <c r="B549" s="10" t="s">
        <v>1395</v>
      </c>
      <c r="C549" s="10" t="s">
        <v>446</v>
      </c>
      <c r="D549" s="98">
        <v>0</v>
      </c>
      <c r="E549" s="382">
        <v>16.05</v>
      </c>
      <c r="F549" s="98">
        <v>3836</v>
      </c>
      <c r="G549" s="98">
        <v>0</v>
      </c>
      <c r="H549" s="98">
        <v>0</v>
      </c>
      <c r="I549" s="98">
        <v>0</v>
      </c>
      <c r="J549" s="98"/>
    </row>
    <row r="550" spans="1:10" ht="14.25" hidden="1">
      <c r="A550" s="74" t="s">
        <v>1396</v>
      </c>
      <c r="B550" s="10" t="s">
        <v>743</v>
      </c>
      <c r="C550" s="10" t="s">
        <v>396</v>
      </c>
      <c r="D550" s="98">
        <v>0</v>
      </c>
      <c r="E550" s="382">
        <v>18.38</v>
      </c>
      <c r="F550" s="98">
        <v>3876</v>
      </c>
      <c r="G550" s="98">
        <v>0</v>
      </c>
      <c r="H550" s="98">
        <v>0</v>
      </c>
      <c r="I550" s="98">
        <v>0</v>
      </c>
      <c r="J550" s="98"/>
    </row>
    <row r="551" spans="1:10" ht="14.25" hidden="1">
      <c r="A551" s="74" t="s">
        <v>1397</v>
      </c>
      <c r="B551" s="10" t="s">
        <v>1398</v>
      </c>
      <c r="C551" s="10" t="s">
        <v>396</v>
      </c>
      <c r="D551" s="98">
        <v>0</v>
      </c>
      <c r="E551" s="382">
        <v>18.899999999999999</v>
      </c>
      <c r="F551" s="98">
        <v>3876</v>
      </c>
      <c r="G551" s="98">
        <v>0</v>
      </c>
      <c r="H551" s="98">
        <v>0</v>
      </c>
      <c r="I551" s="98">
        <v>0</v>
      </c>
      <c r="J551" s="98"/>
    </row>
    <row r="552" spans="1:10" ht="14.25" hidden="1">
      <c r="A552" s="74" t="s">
        <v>1399</v>
      </c>
      <c r="B552" s="10" t="s">
        <v>1400</v>
      </c>
      <c r="C552" s="10" t="s">
        <v>446</v>
      </c>
      <c r="D552" s="98">
        <v>0</v>
      </c>
      <c r="E552" s="382">
        <v>34.020000000000003</v>
      </c>
      <c r="F552" s="98">
        <v>3836</v>
      </c>
      <c r="G552" s="98">
        <v>0</v>
      </c>
      <c r="H552" s="98">
        <v>0</v>
      </c>
      <c r="I552" s="98">
        <v>0</v>
      </c>
      <c r="J552" s="98"/>
    </row>
    <row r="553" spans="1:10" ht="14.25" hidden="1">
      <c r="A553" s="74" t="s">
        <v>1401</v>
      </c>
      <c r="B553" s="10" t="s">
        <v>1402</v>
      </c>
      <c r="C553" s="10" t="s">
        <v>446</v>
      </c>
      <c r="D553" s="98">
        <v>0</v>
      </c>
      <c r="E553" s="382">
        <v>33.770000000000003</v>
      </c>
      <c r="F553" s="98">
        <v>3836</v>
      </c>
      <c r="G553" s="98">
        <v>0</v>
      </c>
      <c r="H553" s="98">
        <v>0</v>
      </c>
      <c r="I553" s="98">
        <v>0</v>
      </c>
      <c r="J553" s="98"/>
    </row>
    <row r="554" spans="1:10" ht="14.25" hidden="1">
      <c r="A554" s="74" t="s">
        <v>1403</v>
      </c>
      <c r="B554" s="10" t="s">
        <v>1404</v>
      </c>
      <c r="C554" s="10" t="s">
        <v>446</v>
      </c>
      <c r="D554" s="98">
        <v>0</v>
      </c>
      <c r="E554" s="382">
        <v>7.93</v>
      </c>
      <c r="F554" s="98">
        <v>3836</v>
      </c>
      <c r="G554" s="98">
        <v>0</v>
      </c>
      <c r="H554" s="98">
        <v>0</v>
      </c>
      <c r="I554" s="98">
        <v>0</v>
      </c>
      <c r="J554" s="98"/>
    </row>
    <row r="555" spans="1:10" ht="14.25" hidden="1">
      <c r="A555" s="74" t="s">
        <v>1405</v>
      </c>
      <c r="B555" s="10" t="s">
        <v>1406</v>
      </c>
      <c r="C555" s="10" t="s">
        <v>446</v>
      </c>
      <c r="D555" s="98">
        <v>0</v>
      </c>
      <c r="E555" s="382">
        <v>29.1</v>
      </c>
      <c r="F555" s="98">
        <v>3836</v>
      </c>
      <c r="G555" s="98">
        <v>0</v>
      </c>
      <c r="H555" s="98">
        <v>0</v>
      </c>
      <c r="I555" s="98">
        <v>0</v>
      </c>
      <c r="J555" s="98"/>
    </row>
    <row r="556" spans="1:10" ht="14.25" hidden="1">
      <c r="A556" s="74" t="s">
        <v>1407</v>
      </c>
      <c r="B556" s="10" t="s">
        <v>1408</v>
      </c>
      <c r="C556" s="10" t="s">
        <v>446</v>
      </c>
      <c r="D556" s="98">
        <v>0</v>
      </c>
      <c r="E556" s="382">
        <v>29.16</v>
      </c>
      <c r="F556" s="98">
        <v>3836</v>
      </c>
      <c r="G556" s="98">
        <v>0</v>
      </c>
      <c r="H556" s="98">
        <v>0</v>
      </c>
      <c r="I556" s="98">
        <v>0</v>
      </c>
      <c r="J556" s="98"/>
    </row>
    <row r="557" spans="1:10" ht="14.25" hidden="1">
      <c r="A557" s="74" t="s">
        <v>1409</v>
      </c>
      <c r="B557" s="10" t="s">
        <v>1410</v>
      </c>
      <c r="C557" s="10" t="s">
        <v>446</v>
      </c>
      <c r="D557" s="98">
        <v>0</v>
      </c>
      <c r="E557" s="382">
        <v>29.08</v>
      </c>
      <c r="F557" s="98">
        <v>3836</v>
      </c>
      <c r="G557" s="98">
        <v>0</v>
      </c>
      <c r="H557" s="98">
        <v>0</v>
      </c>
      <c r="I557" s="98">
        <v>0</v>
      </c>
      <c r="J557" s="98"/>
    </row>
    <row r="558" spans="1:10" ht="14.25" hidden="1">
      <c r="A558" s="74" t="s">
        <v>1411</v>
      </c>
      <c r="B558" s="10" t="s">
        <v>1412</v>
      </c>
      <c r="C558" s="10" t="s">
        <v>446</v>
      </c>
      <c r="D558" s="98">
        <v>0</v>
      </c>
      <c r="E558" s="382">
        <v>33.85</v>
      </c>
      <c r="F558" s="98">
        <v>3836</v>
      </c>
      <c r="G558" s="98">
        <v>0</v>
      </c>
      <c r="H558" s="98">
        <v>0</v>
      </c>
      <c r="I558" s="98">
        <v>0</v>
      </c>
      <c r="J558" s="98"/>
    </row>
    <row r="559" spans="1:10" ht="14.25" hidden="1">
      <c r="A559" s="74" t="s">
        <v>1413</v>
      </c>
      <c r="B559" s="10" t="s">
        <v>1414</v>
      </c>
      <c r="C559" s="10" t="s">
        <v>446</v>
      </c>
      <c r="D559" s="98">
        <v>0</v>
      </c>
      <c r="E559" s="382">
        <v>29.1</v>
      </c>
      <c r="F559" s="98">
        <v>3836</v>
      </c>
      <c r="G559" s="98">
        <v>0</v>
      </c>
      <c r="H559" s="98">
        <v>0</v>
      </c>
      <c r="I559" s="98">
        <v>0</v>
      </c>
      <c r="J559" s="98"/>
    </row>
    <row r="560" spans="1:10" ht="14.25" hidden="1">
      <c r="A560" s="74" t="s">
        <v>1415</v>
      </c>
      <c r="B560" s="10" t="s">
        <v>1416</v>
      </c>
      <c r="C560" s="10" t="s">
        <v>446</v>
      </c>
      <c r="D560" s="98">
        <v>0</v>
      </c>
      <c r="E560" s="382">
        <v>29.1</v>
      </c>
      <c r="F560" s="98">
        <v>3836</v>
      </c>
      <c r="G560" s="98">
        <v>0</v>
      </c>
      <c r="H560" s="98">
        <v>0</v>
      </c>
      <c r="I560" s="98">
        <v>0</v>
      </c>
      <c r="J560" s="98"/>
    </row>
    <row r="561" spans="1:10" ht="14.25" hidden="1">
      <c r="A561" s="74" t="s">
        <v>1417</v>
      </c>
      <c r="B561" s="10" t="s">
        <v>1418</v>
      </c>
      <c r="C561" s="10" t="s">
        <v>446</v>
      </c>
      <c r="D561" s="98">
        <v>0</v>
      </c>
      <c r="E561" s="382">
        <v>29.1</v>
      </c>
      <c r="F561" s="98">
        <v>3836</v>
      </c>
      <c r="G561" s="98">
        <v>0</v>
      </c>
      <c r="H561" s="98">
        <v>0</v>
      </c>
      <c r="I561" s="98">
        <v>0</v>
      </c>
      <c r="J561" s="98"/>
    </row>
    <row r="562" spans="1:10" ht="14.25" hidden="1">
      <c r="A562" s="74" t="s">
        <v>1419</v>
      </c>
      <c r="B562" s="10" t="s">
        <v>1420</v>
      </c>
      <c r="C562" s="10" t="s">
        <v>812</v>
      </c>
      <c r="D562" s="98">
        <v>0</v>
      </c>
      <c r="E562" s="382">
        <v>9.77</v>
      </c>
      <c r="F562" s="98">
        <v>4629</v>
      </c>
      <c r="G562" s="98">
        <v>0</v>
      </c>
      <c r="H562" s="98">
        <v>0</v>
      </c>
      <c r="I562" s="98">
        <v>0</v>
      </c>
      <c r="J562" s="98"/>
    </row>
    <row r="563" spans="1:10" ht="14.25" hidden="1">
      <c r="A563" s="74" t="s">
        <v>1421</v>
      </c>
      <c r="B563" s="10" t="s">
        <v>1422</v>
      </c>
      <c r="C563" s="10" t="s">
        <v>446</v>
      </c>
      <c r="D563" s="98">
        <v>0</v>
      </c>
      <c r="E563" s="382">
        <v>7.28</v>
      </c>
      <c r="F563" s="98">
        <v>3836</v>
      </c>
      <c r="G563" s="98">
        <v>0</v>
      </c>
      <c r="H563" s="98">
        <v>0</v>
      </c>
      <c r="I563" s="98">
        <v>0</v>
      </c>
      <c r="J563" s="98"/>
    </row>
    <row r="564" spans="1:10" ht="14.25" hidden="1">
      <c r="A564" s="74" t="s">
        <v>1423</v>
      </c>
      <c r="B564" s="10" t="s">
        <v>1424</v>
      </c>
      <c r="C564" s="10" t="s">
        <v>812</v>
      </c>
      <c r="D564" s="98">
        <v>0</v>
      </c>
      <c r="E564" s="382">
        <v>9.7200000000000006</v>
      </c>
      <c r="F564" s="98">
        <v>4629</v>
      </c>
      <c r="G564" s="98">
        <v>0</v>
      </c>
      <c r="H564" s="98">
        <v>0</v>
      </c>
      <c r="I564" s="98">
        <v>0</v>
      </c>
      <c r="J564" s="98"/>
    </row>
    <row r="565" spans="1:10" ht="14.25" hidden="1">
      <c r="A565" s="74" t="s">
        <v>1425</v>
      </c>
      <c r="B565" s="10" t="s">
        <v>1426</v>
      </c>
      <c r="C565" s="10" t="s">
        <v>446</v>
      </c>
      <c r="D565" s="98">
        <v>0</v>
      </c>
      <c r="E565" s="382">
        <v>0</v>
      </c>
      <c r="F565" s="98">
        <v>3836</v>
      </c>
      <c r="G565" s="98">
        <v>0</v>
      </c>
      <c r="H565" s="98">
        <v>0</v>
      </c>
      <c r="I565" s="98">
        <v>0</v>
      </c>
      <c r="J565" s="98"/>
    </row>
    <row r="566" spans="1:10" ht="14.25" hidden="1">
      <c r="A566" s="74" t="s">
        <v>1427</v>
      </c>
      <c r="B566" s="10" t="s">
        <v>1428</v>
      </c>
      <c r="C566" s="10" t="s">
        <v>446</v>
      </c>
      <c r="D566" s="98">
        <v>0</v>
      </c>
      <c r="E566" s="382">
        <v>21.97</v>
      </c>
      <c r="F566" s="98">
        <v>3836</v>
      </c>
      <c r="G566" s="98">
        <v>0</v>
      </c>
      <c r="H566" s="98">
        <v>0</v>
      </c>
      <c r="I566" s="98">
        <v>0</v>
      </c>
      <c r="J566" s="98"/>
    </row>
    <row r="567" spans="1:10" ht="14.25" hidden="1">
      <c r="A567" s="74" t="s">
        <v>1429</v>
      </c>
      <c r="B567" s="10" t="s">
        <v>1430</v>
      </c>
      <c r="C567" s="10" t="s">
        <v>446</v>
      </c>
      <c r="D567" s="98">
        <v>0</v>
      </c>
      <c r="E567" s="382">
        <v>11.98</v>
      </c>
      <c r="F567" s="98">
        <v>3836</v>
      </c>
      <c r="G567" s="98">
        <v>0</v>
      </c>
      <c r="H567" s="98">
        <v>0</v>
      </c>
      <c r="I567" s="98">
        <v>0</v>
      </c>
      <c r="J567" s="98"/>
    </row>
    <row r="568" spans="1:10" ht="14.25" hidden="1">
      <c r="A568" s="74" t="s">
        <v>1431</v>
      </c>
      <c r="B568" s="10" t="s">
        <v>1432</v>
      </c>
      <c r="C568" s="10" t="s">
        <v>446</v>
      </c>
      <c r="D568" s="98">
        <v>0</v>
      </c>
      <c r="E568" s="382">
        <v>21.6</v>
      </c>
      <c r="F568" s="98">
        <v>3836</v>
      </c>
      <c r="G568" s="98">
        <v>0</v>
      </c>
      <c r="H568" s="98">
        <v>0</v>
      </c>
      <c r="I568" s="98">
        <v>0</v>
      </c>
      <c r="J568" s="98"/>
    </row>
    <row r="569" spans="1:10" ht="14.25" hidden="1">
      <c r="A569" s="74" t="s">
        <v>1433</v>
      </c>
      <c r="B569" s="10" t="s">
        <v>1434</v>
      </c>
      <c r="C569" s="10" t="s">
        <v>446</v>
      </c>
      <c r="D569" s="98">
        <v>0</v>
      </c>
      <c r="E569" s="382">
        <v>21.6</v>
      </c>
      <c r="F569" s="98">
        <v>3836</v>
      </c>
      <c r="G569" s="98">
        <v>0</v>
      </c>
      <c r="H569" s="98">
        <v>0</v>
      </c>
      <c r="I569" s="98">
        <v>0</v>
      </c>
      <c r="J569" s="98"/>
    </row>
    <row r="570" spans="1:10" ht="14.25" hidden="1">
      <c r="A570" s="74" t="s">
        <v>1435</v>
      </c>
      <c r="B570" s="10" t="s">
        <v>1436</v>
      </c>
      <c r="C570" s="10" t="s">
        <v>446</v>
      </c>
      <c r="D570" s="98">
        <v>0</v>
      </c>
      <c r="E570" s="382">
        <v>14.09</v>
      </c>
      <c r="F570" s="98">
        <v>3836</v>
      </c>
      <c r="G570" s="98">
        <v>0</v>
      </c>
      <c r="H570" s="98">
        <v>0</v>
      </c>
      <c r="I570" s="98">
        <v>0</v>
      </c>
      <c r="J570" s="98"/>
    </row>
    <row r="571" spans="1:10" ht="14.25" hidden="1">
      <c r="A571" s="74" t="s">
        <v>1437</v>
      </c>
      <c r="B571" s="10" t="s">
        <v>1438</v>
      </c>
      <c r="C571" s="10" t="s">
        <v>446</v>
      </c>
      <c r="D571" s="98">
        <v>0</v>
      </c>
      <c r="E571" s="382">
        <v>0</v>
      </c>
      <c r="F571" s="98">
        <v>3836</v>
      </c>
      <c r="G571" s="98">
        <v>0</v>
      </c>
      <c r="H571" s="98">
        <v>0</v>
      </c>
      <c r="I571" s="98">
        <v>0</v>
      </c>
      <c r="J571" s="98"/>
    </row>
    <row r="572" spans="1:10" ht="14.25" hidden="1">
      <c r="A572" s="74" t="s">
        <v>1439</v>
      </c>
      <c r="B572" s="10" t="s">
        <v>1440</v>
      </c>
      <c r="C572" s="10" t="s">
        <v>446</v>
      </c>
      <c r="D572" s="98">
        <v>0</v>
      </c>
      <c r="E572" s="382">
        <v>0.13</v>
      </c>
      <c r="F572" s="98">
        <v>3836</v>
      </c>
      <c r="G572" s="98">
        <v>0</v>
      </c>
      <c r="H572" s="98">
        <v>0</v>
      </c>
      <c r="I572" s="98">
        <v>0</v>
      </c>
      <c r="J572" s="98"/>
    </row>
    <row r="573" spans="1:10" ht="14.25" hidden="1">
      <c r="A573" s="74" t="s">
        <v>1441</v>
      </c>
      <c r="B573" s="10" t="s">
        <v>1442</v>
      </c>
      <c r="C573" s="10" t="s">
        <v>446</v>
      </c>
      <c r="D573" s="98">
        <v>0</v>
      </c>
      <c r="E573" s="382">
        <v>0</v>
      </c>
      <c r="F573" s="98">
        <v>3836</v>
      </c>
      <c r="G573" s="98">
        <v>0</v>
      </c>
      <c r="H573" s="98">
        <v>0</v>
      </c>
      <c r="I573" s="98">
        <v>0</v>
      </c>
      <c r="J573" s="98"/>
    </row>
    <row r="574" spans="1:10" ht="14.25" hidden="1">
      <c r="A574" s="74" t="s">
        <v>1443</v>
      </c>
      <c r="B574" s="10" t="s">
        <v>1444</v>
      </c>
      <c r="C574" s="10" t="s">
        <v>841</v>
      </c>
      <c r="D574" s="98">
        <v>0</v>
      </c>
      <c r="E574" s="382">
        <v>10.54</v>
      </c>
      <c r="F574" s="98">
        <v>3327</v>
      </c>
      <c r="G574" s="98">
        <v>0</v>
      </c>
      <c r="H574" s="98">
        <v>0</v>
      </c>
      <c r="I574" s="98">
        <v>0</v>
      </c>
      <c r="J574" s="98"/>
    </row>
    <row r="575" spans="1:10" ht="14.25" hidden="1">
      <c r="A575" s="74" t="s">
        <v>1445</v>
      </c>
      <c r="B575" s="10" t="s">
        <v>1446</v>
      </c>
      <c r="C575" s="10" t="s">
        <v>841</v>
      </c>
      <c r="D575" s="98">
        <v>0</v>
      </c>
      <c r="E575" s="382">
        <v>12.49</v>
      </c>
      <c r="F575" s="98">
        <v>3327</v>
      </c>
      <c r="G575" s="98">
        <v>0</v>
      </c>
      <c r="H575" s="98">
        <v>0</v>
      </c>
      <c r="I575" s="98">
        <v>0</v>
      </c>
      <c r="J575" s="98"/>
    </row>
    <row r="576" spans="1:10" ht="14.25" hidden="1">
      <c r="A576" s="74" t="s">
        <v>1447</v>
      </c>
      <c r="B576" s="10" t="s">
        <v>1448</v>
      </c>
      <c r="C576" s="10" t="s">
        <v>841</v>
      </c>
      <c r="D576" s="98">
        <v>0</v>
      </c>
      <c r="E576" s="382">
        <v>12.57</v>
      </c>
      <c r="F576" s="98">
        <v>3327</v>
      </c>
      <c r="G576" s="98">
        <v>0</v>
      </c>
      <c r="H576" s="98">
        <v>0</v>
      </c>
      <c r="I576" s="98">
        <v>0</v>
      </c>
      <c r="J576" s="98"/>
    </row>
    <row r="577" spans="1:10" ht="14.25" hidden="1">
      <c r="A577" s="74" t="s">
        <v>1449</v>
      </c>
      <c r="B577" s="10" t="s">
        <v>1450</v>
      </c>
      <c r="C577" s="10" t="s">
        <v>841</v>
      </c>
      <c r="D577" s="98">
        <v>0</v>
      </c>
      <c r="E577" s="382">
        <v>9.32</v>
      </c>
      <c r="F577" s="98">
        <v>3327</v>
      </c>
      <c r="G577" s="98">
        <v>0</v>
      </c>
      <c r="H577" s="98">
        <v>0</v>
      </c>
      <c r="I577" s="98">
        <v>0</v>
      </c>
      <c r="J577" s="98"/>
    </row>
    <row r="578" spans="1:10" ht="14.25" hidden="1">
      <c r="A578" s="74" t="s">
        <v>1451</v>
      </c>
      <c r="B578" s="10" t="s">
        <v>1452</v>
      </c>
      <c r="C578" s="10" t="s">
        <v>446</v>
      </c>
      <c r="D578" s="98">
        <v>0</v>
      </c>
      <c r="E578" s="382">
        <v>10.35</v>
      </c>
      <c r="F578" s="98">
        <v>3836</v>
      </c>
      <c r="G578" s="98">
        <v>0</v>
      </c>
      <c r="H578" s="98">
        <v>0</v>
      </c>
      <c r="I578" s="98">
        <v>0</v>
      </c>
      <c r="J578" s="98"/>
    </row>
    <row r="579" spans="1:10" ht="14.25" hidden="1">
      <c r="A579" s="74" t="s">
        <v>1453</v>
      </c>
      <c r="B579" s="10" t="s">
        <v>1454</v>
      </c>
      <c r="C579" s="10" t="s">
        <v>841</v>
      </c>
      <c r="D579" s="98">
        <v>0</v>
      </c>
      <c r="E579" s="382">
        <v>9.51</v>
      </c>
      <c r="F579" s="98">
        <v>3327</v>
      </c>
      <c r="G579" s="98">
        <v>0</v>
      </c>
      <c r="H579" s="98">
        <v>0</v>
      </c>
      <c r="I579" s="98">
        <v>0</v>
      </c>
      <c r="J579" s="98"/>
    </row>
    <row r="580" spans="1:10" ht="14.25" hidden="1">
      <c r="A580" s="74" t="s">
        <v>1455</v>
      </c>
      <c r="B580" s="10" t="s">
        <v>1456</v>
      </c>
      <c r="C580" s="10" t="s">
        <v>400</v>
      </c>
      <c r="D580" s="98">
        <v>0</v>
      </c>
      <c r="E580" s="382">
        <v>17.510000000000002</v>
      </c>
      <c r="F580" s="98">
        <v>4509</v>
      </c>
      <c r="G580" s="98">
        <v>0</v>
      </c>
      <c r="H580" s="98">
        <v>0</v>
      </c>
      <c r="I580" s="98">
        <v>0</v>
      </c>
      <c r="J580" s="98"/>
    </row>
    <row r="581" spans="1:10" ht="14.25" hidden="1">
      <c r="A581" s="74" t="s">
        <v>1457</v>
      </c>
      <c r="B581" s="10" t="s">
        <v>1458</v>
      </c>
      <c r="C581" s="10" t="s">
        <v>400</v>
      </c>
      <c r="D581" s="98">
        <v>0</v>
      </c>
      <c r="E581" s="382">
        <v>15.93</v>
      </c>
      <c r="F581" s="98">
        <v>4509</v>
      </c>
      <c r="G581" s="98">
        <v>0</v>
      </c>
      <c r="H581" s="98">
        <v>0</v>
      </c>
      <c r="I581" s="98">
        <v>0</v>
      </c>
      <c r="J581" s="98"/>
    </row>
    <row r="582" spans="1:10" ht="14.25" hidden="1">
      <c r="A582" s="74" t="s">
        <v>1459</v>
      </c>
      <c r="B582" s="10" t="s">
        <v>1460</v>
      </c>
      <c r="C582" s="10" t="s">
        <v>400</v>
      </c>
      <c r="D582" s="98">
        <v>0</v>
      </c>
      <c r="E582" s="382">
        <v>15</v>
      </c>
      <c r="F582" s="98">
        <v>4509</v>
      </c>
      <c r="G582" s="98">
        <v>0</v>
      </c>
      <c r="H582" s="98">
        <v>0</v>
      </c>
      <c r="I582" s="98">
        <v>0</v>
      </c>
      <c r="J582" s="98"/>
    </row>
    <row r="583" spans="1:10" ht="14.25" hidden="1">
      <c r="A583" s="74" t="s">
        <v>1461</v>
      </c>
      <c r="B583" s="10" t="s">
        <v>1462</v>
      </c>
      <c r="C583" s="10" t="s">
        <v>446</v>
      </c>
      <c r="D583" s="98">
        <v>0</v>
      </c>
      <c r="E583" s="382">
        <v>20.74</v>
      </c>
      <c r="F583" s="98">
        <v>3836</v>
      </c>
      <c r="G583" s="98">
        <v>0</v>
      </c>
      <c r="H583" s="98">
        <v>0</v>
      </c>
      <c r="I583" s="98">
        <v>0</v>
      </c>
      <c r="J583" s="98"/>
    </row>
    <row r="584" spans="1:10" ht="14.25" hidden="1">
      <c r="A584" s="74" t="s">
        <v>1463</v>
      </c>
      <c r="B584" s="10" t="s">
        <v>1464</v>
      </c>
      <c r="C584" s="10" t="s">
        <v>446</v>
      </c>
      <c r="D584" s="98">
        <v>0</v>
      </c>
      <c r="E584" s="382">
        <v>10.42</v>
      </c>
      <c r="F584" s="98">
        <v>3836</v>
      </c>
      <c r="G584" s="98">
        <v>0</v>
      </c>
      <c r="H584" s="98">
        <v>0</v>
      </c>
      <c r="I584" s="98">
        <v>0</v>
      </c>
      <c r="J584" s="98"/>
    </row>
    <row r="585" spans="1:10" ht="14.25" hidden="1">
      <c r="A585" s="74" t="s">
        <v>1465</v>
      </c>
      <c r="B585" s="10" t="s">
        <v>1466</v>
      </c>
      <c r="C585" s="10" t="s">
        <v>446</v>
      </c>
      <c r="D585" s="98">
        <v>0</v>
      </c>
      <c r="E585" s="382">
        <v>13.32</v>
      </c>
      <c r="F585" s="98">
        <v>3836</v>
      </c>
      <c r="G585" s="98">
        <v>0</v>
      </c>
      <c r="H585" s="98">
        <v>0</v>
      </c>
      <c r="I585" s="98">
        <v>0</v>
      </c>
      <c r="J585" s="98"/>
    </row>
    <row r="586" spans="1:10" ht="14.25" hidden="1">
      <c r="A586" s="74" t="s">
        <v>1467</v>
      </c>
      <c r="B586" s="10" t="s">
        <v>1468</v>
      </c>
      <c r="C586" s="10" t="s">
        <v>446</v>
      </c>
      <c r="D586" s="98">
        <v>0</v>
      </c>
      <c r="E586" s="382">
        <v>9.11</v>
      </c>
      <c r="F586" s="98">
        <v>3836</v>
      </c>
      <c r="G586" s="98">
        <v>0</v>
      </c>
      <c r="H586" s="98">
        <v>0</v>
      </c>
      <c r="I586" s="98">
        <v>0</v>
      </c>
      <c r="J586" s="98"/>
    </row>
    <row r="587" spans="1:10" ht="14.25" hidden="1">
      <c r="A587" s="74" t="s">
        <v>1469</v>
      </c>
      <c r="B587" s="10" t="s">
        <v>1470</v>
      </c>
      <c r="C587" s="10" t="s">
        <v>446</v>
      </c>
      <c r="D587" s="98">
        <v>0</v>
      </c>
      <c r="E587" s="382">
        <v>7.28</v>
      </c>
      <c r="F587" s="98">
        <v>3836</v>
      </c>
      <c r="G587" s="98">
        <v>0</v>
      </c>
      <c r="H587" s="98">
        <v>0</v>
      </c>
      <c r="I587" s="98">
        <v>0</v>
      </c>
      <c r="J587" s="98"/>
    </row>
    <row r="588" spans="1:10" ht="14.25" hidden="1">
      <c r="A588" s="74" t="s">
        <v>1471</v>
      </c>
      <c r="B588" s="10" t="s">
        <v>1472</v>
      </c>
      <c r="C588" s="10" t="s">
        <v>446</v>
      </c>
      <c r="D588" s="98">
        <v>0</v>
      </c>
      <c r="E588" s="382">
        <v>13.33</v>
      </c>
      <c r="F588" s="98">
        <v>3836</v>
      </c>
      <c r="G588" s="98">
        <v>0</v>
      </c>
      <c r="H588" s="98">
        <v>0</v>
      </c>
      <c r="I588" s="98">
        <v>0</v>
      </c>
      <c r="J588" s="98"/>
    </row>
    <row r="589" spans="1:10" ht="14.25" hidden="1">
      <c r="A589" s="74" t="s">
        <v>1473</v>
      </c>
      <c r="B589" s="10" t="s">
        <v>1474</v>
      </c>
      <c r="C589" s="10" t="s">
        <v>446</v>
      </c>
      <c r="D589" s="98">
        <v>0</v>
      </c>
      <c r="E589" s="382">
        <v>14.62</v>
      </c>
      <c r="F589" s="98">
        <v>3836</v>
      </c>
      <c r="G589" s="98">
        <v>0</v>
      </c>
      <c r="H589" s="98">
        <v>0</v>
      </c>
      <c r="I589" s="98">
        <v>0</v>
      </c>
      <c r="J589" s="98"/>
    </row>
    <row r="590" spans="1:10" ht="14.25" hidden="1">
      <c r="A590" s="74" t="s">
        <v>1475</v>
      </c>
      <c r="B590" s="10" t="s">
        <v>1476</v>
      </c>
      <c r="C590" s="10" t="s">
        <v>446</v>
      </c>
      <c r="D590" s="98">
        <v>0</v>
      </c>
      <c r="E590" s="382">
        <v>7.28</v>
      </c>
      <c r="F590" s="98">
        <v>3836</v>
      </c>
      <c r="G590" s="98">
        <v>0</v>
      </c>
      <c r="H590" s="98">
        <v>0</v>
      </c>
      <c r="I590" s="98">
        <v>0</v>
      </c>
      <c r="J590" s="98"/>
    </row>
    <row r="591" spans="1:10" ht="14.25" hidden="1">
      <c r="A591" s="74" t="s">
        <v>1477</v>
      </c>
      <c r="B591" s="10" t="s">
        <v>1478</v>
      </c>
      <c r="C591" s="10" t="s">
        <v>446</v>
      </c>
      <c r="D591" s="98">
        <v>0</v>
      </c>
      <c r="E591" s="382">
        <v>7.99</v>
      </c>
      <c r="F591" s="98">
        <v>3836</v>
      </c>
      <c r="G591" s="98">
        <v>0</v>
      </c>
      <c r="H591" s="98">
        <v>0</v>
      </c>
      <c r="I591" s="98">
        <v>0</v>
      </c>
      <c r="J591" s="98"/>
    </row>
    <row r="592" spans="1:10" ht="14.25">
      <c r="A592" s="74" t="s">
        <v>1479</v>
      </c>
      <c r="B592" s="10" t="s">
        <v>1480</v>
      </c>
      <c r="C592" s="10" t="s">
        <v>458</v>
      </c>
      <c r="D592" s="98">
        <v>0</v>
      </c>
      <c r="E592" s="382">
        <v>16</v>
      </c>
      <c r="F592" s="98">
        <v>3610</v>
      </c>
      <c r="G592" s="98">
        <v>0</v>
      </c>
      <c r="H592" s="98">
        <v>0</v>
      </c>
      <c r="I592" s="98">
        <v>0</v>
      </c>
      <c r="J592" s="98"/>
    </row>
    <row r="593" spans="1:10" ht="14.25">
      <c r="A593" s="74" t="s">
        <v>1481</v>
      </c>
      <c r="B593" s="10" t="s">
        <v>1482</v>
      </c>
      <c r="C593" s="10" t="s">
        <v>458</v>
      </c>
      <c r="D593" s="98">
        <v>0</v>
      </c>
      <c r="E593" s="382">
        <v>13.98</v>
      </c>
      <c r="F593" s="98">
        <v>3610</v>
      </c>
      <c r="G593" s="98">
        <v>0</v>
      </c>
      <c r="H593" s="98">
        <v>0</v>
      </c>
      <c r="I593" s="98">
        <v>0</v>
      </c>
      <c r="J593" s="98"/>
    </row>
    <row r="594" spans="1:10" ht="14.25">
      <c r="A594" s="74" t="s">
        <v>1483</v>
      </c>
      <c r="B594" s="10" t="s">
        <v>1484</v>
      </c>
      <c r="C594" s="10" t="s">
        <v>458</v>
      </c>
      <c r="D594" s="98">
        <v>0</v>
      </c>
      <c r="E594" s="382">
        <v>14.82</v>
      </c>
      <c r="F594" s="98">
        <v>3610</v>
      </c>
      <c r="G594" s="98">
        <v>0</v>
      </c>
      <c r="H594" s="98">
        <v>0</v>
      </c>
      <c r="I594" s="98">
        <v>0</v>
      </c>
      <c r="J594" s="98"/>
    </row>
    <row r="595" spans="1:10" ht="14.25">
      <c r="A595" s="74" t="s">
        <v>1485</v>
      </c>
      <c r="B595" s="10" t="s">
        <v>1486</v>
      </c>
      <c r="C595" s="10" t="s">
        <v>458</v>
      </c>
      <c r="D595" s="98">
        <v>0</v>
      </c>
      <c r="E595" s="382">
        <v>13.72</v>
      </c>
      <c r="F595" s="98">
        <v>3610</v>
      </c>
      <c r="G595" s="98">
        <v>0</v>
      </c>
      <c r="H595" s="98">
        <v>0</v>
      </c>
      <c r="I595" s="98">
        <v>0</v>
      </c>
      <c r="J595" s="98"/>
    </row>
    <row r="596" spans="1:10" ht="14.25">
      <c r="A596" s="74" t="s">
        <v>1487</v>
      </c>
      <c r="B596" s="10" t="s">
        <v>1488</v>
      </c>
      <c r="C596" s="10" t="s">
        <v>458</v>
      </c>
      <c r="D596" s="98">
        <v>0</v>
      </c>
      <c r="E596" s="382">
        <v>13.46</v>
      </c>
      <c r="F596" s="98">
        <v>3610</v>
      </c>
      <c r="G596" s="98">
        <v>0</v>
      </c>
      <c r="H596" s="98">
        <v>0</v>
      </c>
      <c r="I596" s="98">
        <v>0</v>
      </c>
      <c r="J596" s="98"/>
    </row>
    <row r="597" spans="1:10" ht="14.25">
      <c r="A597" s="74" t="s">
        <v>1489</v>
      </c>
      <c r="B597" s="10" t="s">
        <v>1490</v>
      </c>
      <c r="C597" s="10" t="s">
        <v>458</v>
      </c>
      <c r="D597" s="98">
        <v>0</v>
      </c>
      <c r="E597" s="382">
        <v>18.86</v>
      </c>
      <c r="F597" s="98">
        <v>3610</v>
      </c>
      <c r="G597" s="98">
        <v>0</v>
      </c>
      <c r="H597" s="98">
        <v>0</v>
      </c>
      <c r="I597" s="98">
        <v>0</v>
      </c>
      <c r="J597" s="98"/>
    </row>
    <row r="598" spans="1:10" ht="14.25">
      <c r="A598" s="74" t="s">
        <v>1491</v>
      </c>
      <c r="B598" s="10" t="s">
        <v>1492</v>
      </c>
      <c r="C598" s="10" t="s">
        <v>458</v>
      </c>
      <c r="D598" s="98">
        <v>0</v>
      </c>
      <c r="E598" s="382">
        <v>16.3</v>
      </c>
      <c r="F598" s="98">
        <v>3610</v>
      </c>
      <c r="G598" s="98">
        <v>0</v>
      </c>
      <c r="H598" s="98">
        <v>0</v>
      </c>
      <c r="I598" s="98">
        <v>0</v>
      </c>
      <c r="J598" s="98"/>
    </row>
    <row r="599" spans="1:10" ht="14.25">
      <c r="A599" s="74" t="s">
        <v>1493</v>
      </c>
      <c r="B599" s="10" t="s">
        <v>1494</v>
      </c>
      <c r="C599" s="10" t="s">
        <v>458</v>
      </c>
      <c r="D599" s="98">
        <v>0</v>
      </c>
      <c r="E599" s="382">
        <v>19.38</v>
      </c>
      <c r="F599" s="98">
        <v>3610</v>
      </c>
      <c r="G599" s="98">
        <v>0</v>
      </c>
      <c r="H599" s="98">
        <v>0</v>
      </c>
      <c r="I599" s="98">
        <v>0</v>
      </c>
      <c r="J599" s="98"/>
    </row>
    <row r="600" spans="1:10" ht="14.25">
      <c r="A600" s="74" t="s">
        <v>1495</v>
      </c>
      <c r="B600" s="10" t="s">
        <v>1496</v>
      </c>
      <c r="C600" s="10" t="s">
        <v>458</v>
      </c>
      <c r="D600" s="98">
        <v>0</v>
      </c>
      <c r="E600" s="382">
        <v>19.38</v>
      </c>
      <c r="F600" s="98">
        <v>3610</v>
      </c>
      <c r="G600" s="98">
        <v>0</v>
      </c>
      <c r="H600" s="98">
        <v>0</v>
      </c>
      <c r="I600" s="98">
        <v>0</v>
      </c>
      <c r="J600" s="98"/>
    </row>
    <row r="601" spans="1:10" ht="14.25">
      <c r="A601" s="74" t="s">
        <v>1497</v>
      </c>
      <c r="B601" s="10" t="s">
        <v>1498</v>
      </c>
      <c r="C601" s="10" t="s">
        <v>458</v>
      </c>
      <c r="D601" s="98">
        <v>0</v>
      </c>
      <c r="E601" s="382">
        <v>12.72</v>
      </c>
      <c r="F601" s="98">
        <v>3610</v>
      </c>
      <c r="G601" s="98">
        <v>0</v>
      </c>
      <c r="H601" s="98">
        <v>0</v>
      </c>
      <c r="I601" s="98">
        <v>0</v>
      </c>
      <c r="J601" s="98"/>
    </row>
    <row r="602" spans="1:10" ht="14.25">
      <c r="A602" s="74" t="s">
        <v>1499</v>
      </c>
      <c r="B602" s="10" t="s">
        <v>1500</v>
      </c>
      <c r="C602" s="10" t="s">
        <v>458</v>
      </c>
      <c r="D602" s="98">
        <v>0</v>
      </c>
      <c r="E602" s="382">
        <v>13.32</v>
      </c>
      <c r="F602" s="98">
        <v>3610</v>
      </c>
      <c r="G602" s="98">
        <v>0</v>
      </c>
      <c r="H602" s="98">
        <v>0</v>
      </c>
      <c r="I602" s="98">
        <v>0</v>
      </c>
      <c r="J602" s="98"/>
    </row>
    <row r="603" spans="1:10" ht="14.25">
      <c r="A603" s="74" t="s">
        <v>1501</v>
      </c>
      <c r="B603" s="10" t="s">
        <v>1502</v>
      </c>
      <c r="C603" s="10" t="s">
        <v>458</v>
      </c>
      <c r="D603" s="98">
        <v>0</v>
      </c>
      <c r="E603" s="382">
        <v>11.58</v>
      </c>
      <c r="F603" s="98">
        <v>3610</v>
      </c>
      <c r="G603" s="98">
        <v>0</v>
      </c>
      <c r="H603" s="98">
        <v>0</v>
      </c>
      <c r="I603" s="98">
        <v>0</v>
      </c>
      <c r="J603" s="98"/>
    </row>
    <row r="604" spans="1:10" ht="14.25">
      <c r="A604" s="74" t="s">
        <v>1503</v>
      </c>
      <c r="B604" s="10" t="s">
        <v>1504</v>
      </c>
      <c r="C604" s="10" t="s">
        <v>458</v>
      </c>
      <c r="D604" s="98">
        <v>0</v>
      </c>
      <c r="E604" s="382">
        <v>19.38</v>
      </c>
      <c r="F604" s="98">
        <v>3610</v>
      </c>
      <c r="G604" s="98">
        <v>0</v>
      </c>
      <c r="H604" s="98">
        <v>0</v>
      </c>
      <c r="I604" s="98">
        <v>0</v>
      </c>
      <c r="J604" s="98"/>
    </row>
    <row r="605" spans="1:10" ht="14.25">
      <c r="A605" s="74" t="s">
        <v>1505</v>
      </c>
      <c r="B605" s="10" t="s">
        <v>1506</v>
      </c>
      <c r="C605" s="10" t="s">
        <v>458</v>
      </c>
      <c r="D605" s="98">
        <v>0</v>
      </c>
      <c r="E605" s="382">
        <v>13.08</v>
      </c>
      <c r="F605" s="98">
        <v>3610</v>
      </c>
      <c r="G605" s="98">
        <v>0</v>
      </c>
      <c r="H605" s="98">
        <v>0</v>
      </c>
      <c r="I605" s="98">
        <v>0</v>
      </c>
      <c r="J605" s="98"/>
    </row>
    <row r="606" spans="1:10" ht="14.25">
      <c r="A606" s="74" t="s">
        <v>1507</v>
      </c>
      <c r="B606" s="10" t="s">
        <v>1508</v>
      </c>
      <c r="C606" s="10" t="s">
        <v>458</v>
      </c>
      <c r="D606" s="98">
        <v>0</v>
      </c>
      <c r="E606" s="382">
        <v>17.72</v>
      </c>
      <c r="F606" s="98">
        <v>3610</v>
      </c>
      <c r="G606" s="98">
        <v>0</v>
      </c>
      <c r="H606" s="98">
        <v>0</v>
      </c>
      <c r="I606" s="98">
        <v>0</v>
      </c>
      <c r="J606" s="98"/>
    </row>
    <row r="607" spans="1:10" ht="14.25">
      <c r="A607" s="74" t="s">
        <v>1509</v>
      </c>
      <c r="B607" s="10" t="s">
        <v>1510</v>
      </c>
      <c r="C607" s="10" t="s">
        <v>458</v>
      </c>
      <c r="D607" s="98">
        <v>0</v>
      </c>
      <c r="E607" s="382">
        <v>15.48</v>
      </c>
      <c r="F607" s="98">
        <v>3610</v>
      </c>
      <c r="G607" s="98">
        <v>0</v>
      </c>
      <c r="H607" s="98">
        <v>0</v>
      </c>
      <c r="I607" s="98">
        <v>0</v>
      </c>
      <c r="J607" s="98"/>
    </row>
    <row r="608" spans="1:10" ht="14.25">
      <c r="A608" s="74" t="s">
        <v>1511</v>
      </c>
      <c r="B608" s="10" t="s">
        <v>1512</v>
      </c>
      <c r="C608" s="10" t="s">
        <v>458</v>
      </c>
      <c r="D608" s="98">
        <v>0</v>
      </c>
      <c r="E608" s="382">
        <v>14.13</v>
      </c>
      <c r="F608" s="98">
        <v>3610</v>
      </c>
      <c r="G608" s="98">
        <v>0</v>
      </c>
      <c r="H608" s="98">
        <v>0</v>
      </c>
      <c r="I608" s="98">
        <v>0</v>
      </c>
      <c r="J608" s="98"/>
    </row>
    <row r="609" spans="1:10" ht="14.25">
      <c r="A609" s="74" t="s">
        <v>1513</v>
      </c>
      <c r="B609" s="10" t="s">
        <v>1514</v>
      </c>
      <c r="C609" s="10" t="s">
        <v>458</v>
      </c>
      <c r="D609" s="98">
        <v>0</v>
      </c>
      <c r="E609" s="382">
        <v>17.72</v>
      </c>
      <c r="F609" s="98">
        <v>3610</v>
      </c>
      <c r="G609" s="98">
        <v>0</v>
      </c>
      <c r="H609" s="98">
        <v>0</v>
      </c>
      <c r="I609" s="98">
        <v>0</v>
      </c>
      <c r="J609" s="98"/>
    </row>
    <row r="610" spans="1:10" ht="14.25">
      <c r="A610" s="74" t="s">
        <v>1515</v>
      </c>
      <c r="B610" s="10" t="s">
        <v>1516</v>
      </c>
      <c r="C610" s="10" t="s">
        <v>458</v>
      </c>
      <c r="D610" s="98">
        <v>0</v>
      </c>
      <c r="E610" s="382">
        <v>18.86</v>
      </c>
      <c r="F610" s="98">
        <v>3610</v>
      </c>
      <c r="G610" s="98">
        <v>0</v>
      </c>
      <c r="H610" s="98">
        <v>0</v>
      </c>
      <c r="I610" s="98">
        <v>0</v>
      </c>
      <c r="J610" s="98"/>
    </row>
    <row r="611" spans="1:10" ht="14.25">
      <c r="A611" s="74" t="s">
        <v>1517</v>
      </c>
      <c r="B611" s="10" t="s">
        <v>1518</v>
      </c>
      <c r="C611" s="10" t="s">
        <v>458</v>
      </c>
      <c r="D611" s="98">
        <v>0</v>
      </c>
      <c r="E611" s="382">
        <v>16.3</v>
      </c>
      <c r="F611" s="98">
        <v>3610</v>
      </c>
      <c r="G611" s="98">
        <v>0</v>
      </c>
      <c r="H611" s="98">
        <v>0</v>
      </c>
      <c r="I611" s="98">
        <v>0</v>
      </c>
      <c r="J611" s="98"/>
    </row>
    <row r="612" spans="1:10" ht="14.25">
      <c r="A612" s="74" t="s">
        <v>1519</v>
      </c>
      <c r="B612" s="10" t="s">
        <v>1520</v>
      </c>
      <c r="C612" s="10" t="s">
        <v>458</v>
      </c>
      <c r="D612" s="98">
        <v>0</v>
      </c>
      <c r="E612" s="382">
        <v>17.72</v>
      </c>
      <c r="F612" s="98">
        <v>3610</v>
      </c>
      <c r="G612" s="98">
        <v>0</v>
      </c>
      <c r="H612" s="98">
        <v>0</v>
      </c>
      <c r="I612" s="98">
        <v>0</v>
      </c>
      <c r="J612" s="98"/>
    </row>
    <row r="613" spans="1:10" ht="14.25">
      <c r="A613" s="74" t="s">
        <v>1521</v>
      </c>
      <c r="B613" s="10" t="s">
        <v>1522</v>
      </c>
      <c r="C613" s="10" t="s">
        <v>458</v>
      </c>
      <c r="D613" s="98">
        <v>0</v>
      </c>
      <c r="E613" s="382">
        <v>15.48</v>
      </c>
      <c r="F613" s="98">
        <v>3610</v>
      </c>
      <c r="G613" s="98">
        <v>0</v>
      </c>
      <c r="H613" s="98">
        <v>0</v>
      </c>
      <c r="I613" s="98">
        <v>0</v>
      </c>
      <c r="J613" s="98"/>
    </row>
    <row r="614" spans="1:10" ht="14.25">
      <c r="A614" s="74" t="s">
        <v>1523</v>
      </c>
      <c r="B614" s="10" t="s">
        <v>1524</v>
      </c>
      <c r="C614" s="10" t="s">
        <v>458</v>
      </c>
      <c r="D614" s="98">
        <v>0</v>
      </c>
      <c r="E614" s="382">
        <v>15.44</v>
      </c>
      <c r="F614" s="98">
        <v>3610</v>
      </c>
      <c r="G614" s="98">
        <v>0</v>
      </c>
      <c r="H614" s="98">
        <v>0</v>
      </c>
      <c r="I614" s="98">
        <v>0</v>
      </c>
      <c r="J614" s="98"/>
    </row>
    <row r="615" spans="1:10" ht="14.25">
      <c r="A615" s="74" t="s">
        <v>1525</v>
      </c>
      <c r="B615" s="10" t="s">
        <v>1526</v>
      </c>
      <c r="C615" s="10" t="s">
        <v>458</v>
      </c>
      <c r="D615" s="98">
        <v>0</v>
      </c>
      <c r="E615" s="382">
        <v>12.98</v>
      </c>
      <c r="F615" s="98">
        <v>3610</v>
      </c>
      <c r="G615" s="98">
        <v>0</v>
      </c>
      <c r="H615" s="98">
        <v>0</v>
      </c>
      <c r="I615" s="98">
        <v>0</v>
      </c>
      <c r="J615" s="98"/>
    </row>
    <row r="616" spans="1:10" ht="14.25">
      <c r="A616" s="74" t="s">
        <v>1527</v>
      </c>
      <c r="B616" s="10" t="s">
        <v>1528</v>
      </c>
      <c r="C616" s="10" t="s">
        <v>458</v>
      </c>
      <c r="D616" s="98">
        <v>0</v>
      </c>
      <c r="E616" s="382">
        <v>15.43</v>
      </c>
      <c r="F616" s="98">
        <v>3610</v>
      </c>
      <c r="G616" s="98">
        <v>0</v>
      </c>
      <c r="H616" s="98">
        <v>0</v>
      </c>
      <c r="I616" s="98">
        <v>0</v>
      </c>
      <c r="J616" s="98"/>
    </row>
    <row r="617" spans="1:10" ht="14.25">
      <c r="A617" s="74" t="s">
        <v>1529</v>
      </c>
      <c r="B617" s="10" t="s">
        <v>1530</v>
      </c>
      <c r="C617" s="10" t="s">
        <v>458</v>
      </c>
      <c r="D617" s="98">
        <v>0</v>
      </c>
      <c r="E617" s="382">
        <v>16.059999999999999</v>
      </c>
      <c r="F617" s="98">
        <v>3610</v>
      </c>
      <c r="G617" s="98">
        <v>0</v>
      </c>
      <c r="H617" s="98">
        <v>0</v>
      </c>
      <c r="I617" s="98">
        <v>0</v>
      </c>
      <c r="J617" s="98"/>
    </row>
    <row r="618" spans="1:10" ht="14.25">
      <c r="A618" s="74" t="s">
        <v>1531</v>
      </c>
      <c r="B618" s="10" t="s">
        <v>1532</v>
      </c>
      <c r="C618" s="10" t="s">
        <v>458</v>
      </c>
      <c r="D618" s="98">
        <v>0</v>
      </c>
      <c r="E618" s="382">
        <v>14.03</v>
      </c>
      <c r="F618" s="98">
        <v>3610</v>
      </c>
      <c r="G618" s="98">
        <v>0</v>
      </c>
      <c r="H618" s="98">
        <v>0</v>
      </c>
      <c r="I618" s="98">
        <v>0</v>
      </c>
      <c r="J618" s="98"/>
    </row>
    <row r="619" spans="1:10" ht="14.25">
      <c r="A619" s="74" t="s">
        <v>1533</v>
      </c>
      <c r="B619" s="10" t="s">
        <v>1534</v>
      </c>
      <c r="C619" s="10" t="s">
        <v>458</v>
      </c>
      <c r="D619" s="98">
        <v>0</v>
      </c>
      <c r="E619" s="382">
        <v>16.07</v>
      </c>
      <c r="F619" s="98">
        <v>3610</v>
      </c>
      <c r="G619" s="98">
        <v>0</v>
      </c>
      <c r="H619" s="98">
        <v>0</v>
      </c>
      <c r="I619" s="98">
        <v>0</v>
      </c>
      <c r="J619" s="98"/>
    </row>
    <row r="620" spans="1:10" ht="14.25">
      <c r="A620" s="74" t="s">
        <v>1535</v>
      </c>
      <c r="B620" s="10" t="s">
        <v>1536</v>
      </c>
      <c r="C620" s="10" t="s">
        <v>458</v>
      </c>
      <c r="D620" s="98">
        <v>0</v>
      </c>
      <c r="E620" s="382">
        <v>15.48</v>
      </c>
      <c r="F620" s="98">
        <v>3610</v>
      </c>
      <c r="G620" s="98">
        <v>0</v>
      </c>
      <c r="H620" s="98">
        <v>0</v>
      </c>
      <c r="I620" s="98">
        <v>0</v>
      </c>
      <c r="J620" s="98"/>
    </row>
    <row r="621" spans="1:10" ht="14.25">
      <c r="A621" s="74" t="s">
        <v>1537</v>
      </c>
      <c r="B621" s="10" t="s">
        <v>1538</v>
      </c>
      <c r="C621" s="10" t="s">
        <v>458</v>
      </c>
      <c r="D621" s="98">
        <v>0</v>
      </c>
      <c r="E621" s="382">
        <v>15.35</v>
      </c>
      <c r="F621" s="98">
        <v>3610</v>
      </c>
      <c r="G621" s="98">
        <v>0</v>
      </c>
      <c r="H621" s="98">
        <v>0</v>
      </c>
      <c r="I621" s="98">
        <v>0</v>
      </c>
      <c r="J621" s="98"/>
    </row>
    <row r="622" spans="1:10" ht="14.25">
      <c r="A622" s="74" t="s">
        <v>1539</v>
      </c>
      <c r="B622" s="10" t="s">
        <v>1540</v>
      </c>
      <c r="C622" s="10" t="s">
        <v>458</v>
      </c>
      <c r="D622" s="98">
        <v>0</v>
      </c>
      <c r="E622" s="382">
        <v>12.11</v>
      </c>
      <c r="F622" s="98">
        <v>3610</v>
      </c>
      <c r="G622" s="98">
        <v>0</v>
      </c>
      <c r="H622" s="98">
        <v>0</v>
      </c>
      <c r="I622" s="98">
        <v>0</v>
      </c>
      <c r="J622" s="98"/>
    </row>
    <row r="623" spans="1:10" ht="14.25">
      <c r="A623" s="74" t="s">
        <v>1541</v>
      </c>
      <c r="B623" s="10" t="s">
        <v>1542</v>
      </c>
      <c r="C623" s="10" t="s">
        <v>458</v>
      </c>
      <c r="D623" s="98">
        <v>0</v>
      </c>
      <c r="E623" s="382">
        <v>18.86</v>
      </c>
      <c r="F623" s="98">
        <v>3610</v>
      </c>
      <c r="G623" s="98">
        <v>0</v>
      </c>
      <c r="H623" s="98">
        <v>0</v>
      </c>
      <c r="I623" s="98">
        <v>0</v>
      </c>
      <c r="J623" s="98"/>
    </row>
    <row r="624" spans="1:10" ht="14.25">
      <c r="A624" s="74" t="s">
        <v>1543</v>
      </c>
      <c r="B624" s="10" t="s">
        <v>1544</v>
      </c>
      <c r="C624" s="10" t="s">
        <v>458</v>
      </c>
      <c r="D624" s="98">
        <v>0</v>
      </c>
      <c r="E624" s="382">
        <v>17.5</v>
      </c>
      <c r="F624" s="98">
        <v>3610</v>
      </c>
      <c r="G624" s="98">
        <v>0</v>
      </c>
      <c r="H624" s="98">
        <v>0</v>
      </c>
      <c r="I624" s="98">
        <v>0</v>
      </c>
      <c r="J624" s="98"/>
    </row>
    <row r="625" spans="1:10" ht="14.25" hidden="1">
      <c r="A625" s="74" t="s">
        <v>1545</v>
      </c>
      <c r="B625" s="10" t="s">
        <v>1546</v>
      </c>
      <c r="C625" s="10" t="s">
        <v>446</v>
      </c>
      <c r="D625" s="98">
        <v>0</v>
      </c>
      <c r="E625" s="382">
        <v>0</v>
      </c>
      <c r="F625" s="98">
        <v>3836</v>
      </c>
      <c r="G625" s="98">
        <v>0</v>
      </c>
      <c r="H625" s="98">
        <v>0</v>
      </c>
      <c r="I625" s="98">
        <v>0</v>
      </c>
      <c r="J625" s="98"/>
    </row>
    <row r="626" spans="1:10" ht="14.25" hidden="1">
      <c r="A626" s="74" t="s">
        <v>1547</v>
      </c>
      <c r="B626" s="10" t="s">
        <v>1548</v>
      </c>
      <c r="C626" s="10" t="s">
        <v>446</v>
      </c>
      <c r="D626" s="98">
        <v>0</v>
      </c>
      <c r="E626" s="382">
        <v>21.48</v>
      </c>
      <c r="F626" s="98">
        <v>3836</v>
      </c>
      <c r="G626" s="98">
        <v>0</v>
      </c>
      <c r="H626" s="98">
        <v>0</v>
      </c>
      <c r="I626" s="98">
        <v>0</v>
      </c>
      <c r="J626" s="98"/>
    </row>
    <row r="627" spans="1:10" ht="14.25" hidden="1">
      <c r="A627" s="74" t="s">
        <v>1549</v>
      </c>
      <c r="B627" s="10" t="s">
        <v>1550</v>
      </c>
      <c r="C627" s="10" t="s">
        <v>446</v>
      </c>
      <c r="D627" s="98">
        <v>0</v>
      </c>
      <c r="E627" s="382">
        <v>35</v>
      </c>
      <c r="F627" s="98">
        <v>3836</v>
      </c>
      <c r="G627" s="98">
        <v>0</v>
      </c>
      <c r="H627" s="98">
        <v>0</v>
      </c>
      <c r="I627" s="98">
        <v>0</v>
      </c>
      <c r="J627" s="98"/>
    </row>
    <row r="628" spans="1:10" ht="14.25" hidden="1">
      <c r="A628" s="74" t="s">
        <v>1551</v>
      </c>
      <c r="B628" s="10" t="s">
        <v>1552</v>
      </c>
      <c r="C628" s="10" t="s">
        <v>446</v>
      </c>
      <c r="D628" s="98">
        <v>0</v>
      </c>
      <c r="E628" s="382">
        <v>9</v>
      </c>
      <c r="F628" s="98">
        <v>3836</v>
      </c>
      <c r="G628" s="98">
        <v>0</v>
      </c>
      <c r="H628" s="98">
        <v>0</v>
      </c>
      <c r="I628" s="98">
        <v>0</v>
      </c>
      <c r="J628" s="98"/>
    </row>
    <row r="629" spans="1:10" ht="14.25" hidden="1">
      <c r="A629" s="74" t="s">
        <v>1553</v>
      </c>
      <c r="B629" s="10" t="s">
        <v>1554</v>
      </c>
      <c r="C629" s="10" t="s">
        <v>446</v>
      </c>
      <c r="D629" s="98">
        <v>0</v>
      </c>
      <c r="E629" s="382">
        <v>15.37</v>
      </c>
      <c r="F629" s="98">
        <v>3836</v>
      </c>
      <c r="G629" s="98">
        <v>0</v>
      </c>
      <c r="H629" s="98">
        <v>0</v>
      </c>
      <c r="I629" s="98">
        <v>0</v>
      </c>
      <c r="J629" s="98"/>
    </row>
    <row r="630" spans="1:10" ht="14.25" hidden="1">
      <c r="A630" s="74" t="s">
        <v>1555</v>
      </c>
      <c r="B630" s="10" t="s">
        <v>1556</v>
      </c>
      <c r="C630" s="10" t="s">
        <v>446</v>
      </c>
      <c r="D630" s="98">
        <v>0</v>
      </c>
      <c r="E630" s="382">
        <v>23.14</v>
      </c>
      <c r="F630" s="98">
        <v>3836</v>
      </c>
      <c r="G630" s="98">
        <v>0</v>
      </c>
      <c r="H630" s="98">
        <v>0</v>
      </c>
      <c r="I630" s="98">
        <v>0</v>
      </c>
      <c r="J630" s="98"/>
    </row>
    <row r="631" spans="1:10" ht="14.25" hidden="1">
      <c r="A631" s="74" t="s">
        <v>1557</v>
      </c>
      <c r="B631" s="10" t="s">
        <v>1558</v>
      </c>
      <c r="C631" s="10" t="s">
        <v>446</v>
      </c>
      <c r="D631" s="98">
        <v>0</v>
      </c>
      <c r="E631" s="382">
        <v>33.19</v>
      </c>
      <c r="F631" s="98">
        <v>3836</v>
      </c>
      <c r="G631" s="98">
        <v>0</v>
      </c>
      <c r="H631" s="98">
        <v>0</v>
      </c>
      <c r="I631" s="98">
        <v>0</v>
      </c>
      <c r="J631" s="98"/>
    </row>
    <row r="632" spans="1:10" ht="14.25" hidden="1">
      <c r="A632" s="74" t="s">
        <v>1559</v>
      </c>
      <c r="B632" s="10" t="s">
        <v>1560</v>
      </c>
      <c r="C632" s="10" t="s">
        <v>446</v>
      </c>
      <c r="D632" s="98">
        <v>0</v>
      </c>
      <c r="E632" s="382">
        <v>0</v>
      </c>
      <c r="F632" s="98">
        <v>3836</v>
      </c>
      <c r="G632" s="98">
        <v>0</v>
      </c>
      <c r="H632" s="98">
        <v>0</v>
      </c>
      <c r="I632" s="98">
        <v>0</v>
      </c>
      <c r="J632" s="98"/>
    </row>
    <row r="633" spans="1:10" ht="14.25" hidden="1">
      <c r="A633" s="376" t="s">
        <v>1561</v>
      </c>
      <c r="B633" s="377" t="s">
        <v>1562</v>
      </c>
      <c r="C633" s="10" t="s">
        <v>446</v>
      </c>
      <c r="D633" s="98">
        <v>0</v>
      </c>
      <c r="E633" s="382">
        <v>33.19</v>
      </c>
      <c r="F633" s="98">
        <v>3836</v>
      </c>
      <c r="G633" s="98">
        <v>0</v>
      </c>
      <c r="H633" s="98">
        <v>0</v>
      </c>
      <c r="I633" s="98">
        <v>0</v>
      </c>
      <c r="J633" s="98"/>
    </row>
    <row r="634" spans="1:10" ht="14.25" hidden="1">
      <c r="A634" s="380" t="s">
        <v>1563</v>
      </c>
      <c r="B634" s="380" t="s">
        <v>1563</v>
      </c>
      <c r="E634" s="382">
        <v>15.4</v>
      </c>
    </row>
    <row r="635" spans="1:10" ht="14.25" hidden="1">
      <c r="A635" s="380" t="s">
        <v>1564</v>
      </c>
      <c r="B635" s="380" t="s">
        <v>1564</v>
      </c>
      <c r="E635" s="382">
        <v>15.4</v>
      </c>
    </row>
    <row r="636" spans="1:10" ht="14.25" hidden="1">
      <c r="A636" s="390" t="s">
        <v>1565</v>
      </c>
      <c r="B636" s="390" t="s">
        <v>1565</v>
      </c>
      <c r="E636" s="382">
        <v>15.4</v>
      </c>
    </row>
    <row r="637" spans="1:10" ht="14.25" hidden="1">
      <c r="A637" s="10" t="s">
        <v>1566</v>
      </c>
      <c r="B637" s="10" t="s">
        <v>1566</v>
      </c>
      <c r="E637" s="382">
        <v>15.4</v>
      </c>
      <c r="F637" s="382"/>
    </row>
    <row r="638" spans="1:10" ht="14.25" hidden="1">
      <c r="A638" s="10" t="s">
        <v>1567</v>
      </c>
      <c r="B638" s="10" t="s">
        <v>1567</v>
      </c>
      <c r="D638" s="98"/>
      <c r="E638" s="382">
        <v>15.4</v>
      </c>
    </row>
    <row r="639" spans="1:10" ht="14.25" hidden="1">
      <c r="A639" s="10" t="s">
        <v>1568</v>
      </c>
      <c r="D639" s="382"/>
      <c r="E639" s="382">
        <v>13.32</v>
      </c>
      <c r="F639" s="98">
        <v>3604</v>
      </c>
      <c r="G639" s="98">
        <v>0</v>
      </c>
      <c r="H639" s="98">
        <v>0</v>
      </c>
      <c r="I639" s="98">
        <v>0</v>
      </c>
      <c r="J639" s="98"/>
    </row>
    <row r="640" spans="1:10" ht="14.25" hidden="1">
      <c r="A640" s="10" t="s">
        <v>1569</v>
      </c>
      <c r="D640" s="402"/>
      <c r="E640" s="382">
        <v>13.32</v>
      </c>
      <c r="F640" s="98">
        <v>3604</v>
      </c>
      <c r="G640" s="98">
        <v>0</v>
      </c>
      <c r="H640" s="98">
        <v>0</v>
      </c>
      <c r="I640" s="98">
        <v>0</v>
      </c>
      <c r="J640" s="98"/>
    </row>
    <row r="641" spans="1:10" ht="14.25" hidden="1">
      <c r="A641" s="10" t="s">
        <v>1570</v>
      </c>
      <c r="E641" s="382">
        <v>13.32</v>
      </c>
      <c r="F641" s="98">
        <v>3604</v>
      </c>
      <c r="G641" s="98">
        <v>0</v>
      </c>
      <c r="H641" s="98">
        <v>0</v>
      </c>
      <c r="I641" s="98">
        <v>0</v>
      </c>
      <c r="J641" s="98"/>
    </row>
    <row r="642" spans="1:10" ht="14.25" hidden="1">
      <c r="A642" s="10" t="s">
        <v>1571</v>
      </c>
      <c r="E642" s="382">
        <v>13.32</v>
      </c>
      <c r="F642" s="98">
        <v>3604</v>
      </c>
      <c r="G642" s="98">
        <v>0</v>
      </c>
      <c r="H642" s="98">
        <v>0</v>
      </c>
      <c r="I642" s="98">
        <v>0</v>
      </c>
      <c r="J642" s="98"/>
    </row>
    <row r="643" spans="1:10" ht="14.25" hidden="1">
      <c r="A643" s="10" t="s">
        <v>1572</v>
      </c>
      <c r="D643" s="382"/>
      <c r="E643" s="382">
        <v>13.08</v>
      </c>
      <c r="F643" s="98">
        <v>3604</v>
      </c>
      <c r="G643" s="98">
        <v>0</v>
      </c>
      <c r="H643" s="98">
        <v>0</v>
      </c>
      <c r="I643" s="98">
        <v>0</v>
      </c>
      <c r="J643" s="98"/>
    </row>
    <row r="644" spans="1:10" ht="14.25" hidden="1">
      <c r="A644" s="10" t="s">
        <v>1573</v>
      </c>
      <c r="E644" s="382">
        <v>13.08</v>
      </c>
      <c r="F644" s="98">
        <v>3604</v>
      </c>
      <c r="G644" s="98">
        <v>0</v>
      </c>
      <c r="H644" s="98">
        <v>0</v>
      </c>
      <c r="I644" s="98">
        <v>0</v>
      </c>
      <c r="J644" s="98"/>
    </row>
    <row r="645" spans="1:10" ht="14.25" hidden="1">
      <c r="A645" s="10" t="s">
        <v>1574</v>
      </c>
      <c r="E645" s="382">
        <v>13.08</v>
      </c>
      <c r="F645" s="98">
        <v>3604</v>
      </c>
      <c r="G645" s="98">
        <v>0</v>
      </c>
      <c r="H645" s="98">
        <v>0</v>
      </c>
      <c r="I645" s="98">
        <v>0</v>
      </c>
      <c r="J645" s="98"/>
    </row>
    <row r="646" spans="1:10" ht="14.25" hidden="1">
      <c r="A646" s="10" t="s">
        <v>1575</v>
      </c>
      <c r="E646" s="382">
        <v>13.08</v>
      </c>
      <c r="F646" s="98">
        <v>3604</v>
      </c>
      <c r="G646" s="98">
        <v>0</v>
      </c>
      <c r="H646" s="98">
        <v>0</v>
      </c>
      <c r="I646" s="98">
        <v>0</v>
      </c>
      <c r="J646" s="98"/>
    </row>
    <row r="647" spans="1:10" ht="14.25" hidden="1">
      <c r="A647" s="10" t="s">
        <v>1576</v>
      </c>
      <c r="E647" s="382">
        <v>13.08</v>
      </c>
      <c r="F647" s="98">
        <v>3604</v>
      </c>
      <c r="G647" s="98">
        <v>0</v>
      </c>
      <c r="H647" s="98">
        <v>0</v>
      </c>
      <c r="I647" s="98">
        <v>0</v>
      </c>
      <c r="J647" s="98"/>
    </row>
    <row r="648" spans="1:10" ht="14.25">
      <c r="A648" s="10" t="s">
        <v>1577</v>
      </c>
      <c r="B648" s="10" t="s">
        <v>1359</v>
      </c>
      <c r="C648" s="10" t="s">
        <v>458</v>
      </c>
      <c r="D648" s="98">
        <v>0</v>
      </c>
      <c r="E648" s="382">
        <v>13.73</v>
      </c>
    </row>
    <row r="649" spans="1:10" ht="14.25"/>
    <row r="650" spans="1:10" ht="14.25"/>
    <row r="651" spans="1:10" ht="14.25"/>
    <row r="652" spans="1:10" ht="14.25">
      <c r="D652" s="98"/>
      <c r="F652" s="98"/>
    </row>
    <row r="653" spans="1:10" ht="14.25"/>
    <row r="654" spans="1:10" ht="14.25"/>
    <row r="655" spans="1:10" ht="14.25"/>
    <row r="656" spans="1:10" ht="14.25"/>
    <row r="657" ht="14.25"/>
    <row r="658" ht="14.25"/>
    <row r="659" ht="14.25"/>
    <row r="660" ht="14.25"/>
    <row r="661" ht="14.25"/>
    <row r="662" ht="14.25"/>
    <row r="663" ht="14.25"/>
    <row r="664" ht="14.25"/>
    <row r="665" ht="14.25"/>
    <row r="666" ht="14.25"/>
    <row r="667" ht="14.25"/>
    <row r="668" ht="14.25"/>
    <row r="669" ht="14.25"/>
    <row r="670" ht="14.25"/>
    <row r="671" ht="14.25"/>
    <row r="672" ht="14.25"/>
    <row r="673" ht="14.25"/>
    <row r="674" ht="14.25"/>
    <row r="675" ht="14.25"/>
    <row r="676" ht="14.25"/>
    <row r="677" ht="14.25"/>
    <row r="678" ht="14.25"/>
    <row r="679" ht="14.25"/>
    <row r="680" ht="14.25"/>
    <row r="681" ht="14.25"/>
    <row r="682" ht="14.25"/>
    <row r="683" ht="14.25"/>
    <row r="684" ht="14.25"/>
    <row r="685" ht="14.25"/>
    <row r="686" ht="14.25"/>
    <row r="687" ht="14.25"/>
    <row r="688" ht="14.25"/>
    <row r="689" ht="14.25"/>
    <row r="690" ht="14.25"/>
    <row r="691" ht="14.25"/>
    <row r="692" ht="14.25"/>
    <row r="693" ht="14.25"/>
    <row r="694" ht="14.25"/>
    <row r="695" ht="14.25"/>
    <row r="696" ht="14.25"/>
    <row r="697" ht="14.25"/>
    <row r="698" ht="14.25"/>
    <row r="699" ht="14.25"/>
    <row r="700" ht="14.25"/>
    <row r="701" ht="14.25"/>
    <row r="702" ht="14.25"/>
    <row r="703" ht="14.25"/>
    <row r="704" ht="14.25"/>
    <row r="705" ht="14.25"/>
    <row r="706" ht="14.25"/>
    <row r="707" ht="14.25"/>
    <row r="708" ht="14.25"/>
    <row r="709" ht="14.25"/>
    <row r="710" ht="14.25"/>
    <row r="711" ht="14.25"/>
    <row r="712" ht="14.25"/>
    <row r="713" ht="14.25"/>
    <row r="714" ht="14.25"/>
    <row r="715" ht="14.25"/>
    <row r="716" ht="14.25"/>
    <row r="717" ht="14.25"/>
    <row r="718" ht="14.25"/>
    <row r="719" ht="14.25"/>
    <row r="720" ht="14.25"/>
    <row r="721" ht="14.25"/>
    <row r="722" ht="14.25"/>
    <row r="723" ht="14.25"/>
    <row r="724" ht="14.25"/>
    <row r="725" ht="14.25"/>
    <row r="726" ht="14.25"/>
    <row r="727" ht="14.25"/>
    <row r="728" ht="14.25"/>
    <row r="729" ht="14.25"/>
    <row r="730" ht="14.25"/>
    <row r="731" ht="14.25"/>
    <row r="732" ht="14.25"/>
    <row r="733" ht="14.25"/>
    <row r="734" ht="14.25"/>
    <row r="735" ht="14.25"/>
    <row r="736" ht="14.25"/>
    <row r="737" ht="14.25"/>
    <row r="738" ht="14.25"/>
    <row r="739" ht="14.25"/>
    <row r="740" ht="14.25"/>
    <row r="741" ht="14.25"/>
    <row r="742" ht="14.25"/>
    <row r="743" ht="14.25"/>
    <row r="744" ht="14.25"/>
    <row r="745" ht="14.25"/>
    <row r="746" ht="14.25"/>
    <row r="747" ht="14.25"/>
    <row r="748" ht="14.25"/>
    <row r="749" ht="14.25"/>
    <row r="750" ht="14.25"/>
    <row r="751" ht="14.25"/>
    <row r="752" ht="14.25"/>
    <row r="753" ht="14.25"/>
    <row r="754" ht="14.25"/>
    <row r="755" ht="14.25"/>
    <row r="756" ht="14.25"/>
    <row r="757" ht="14.25"/>
    <row r="758" ht="14.25"/>
    <row r="759" ht="14.25"/>
    <row r="760" ht="14.25"/>
    <row r="761" ht="14.25"/>
    <row r="762" ht="14.25"/>
    <row r="763" ht="14.25"/>
    <row r="764" ht="14.25"/>
    <row r="765" ht="14.25"/>
    <row r="766" ht="14.25"/>
    <row r="767" ht="14.25"/>
    <row r="768" ht="14.25"/>
    <row r="769" ht="14.25"/>
    <row r="770" ht="14.25"/>
    <row r="771" ht="14.25"/>
    <row r="772" ht="14.25"/>
    <row r="773" ht="14.25"/>
    <row r="774" ht="14.25"/>
    <row r="775" ht="14.25"/>
    <row r="776" ht="14.25"/>
    <row r="777" ht="14.25"/>
    <row r="778" ht="14.25"/>
    <row r="779" ht="14.25"/>
    <row r="780" ht="14.25"/>
    <row r="781" ht="14.25"/>
    <row r="782" ht="14.25"/>
    <row r="783" ht="14.25"/>
    <row r="784" ht="14.25"/>
    <row r="785" ht="14.25"/>
    <row r="786" ht="14.25"/>
    <row r="787" ht="14.25"/>
    <row r="788" ht="14.25"/>
    <row r="789" ht="14.25"/>
    <row r="790" ht="14.25"/>
    <row r="791" ht="14.25"/>
    <row r="792" ht="14.25"/>
    <row r="793" ht="14.25"/>
    <row r="794" ht="14.25"/>
    <row r="795" ht="14.25"/>
    <row r="796" ht="14.25"/>
    <row r="797" ht="14.25"/>
    <row r="798" ht="14.25"/>
    <row r="799" ht="14.25"/>
    <row r="800" ht="14.25"/>
    <row r="801" ht="14.25"/>
    <row r="802" ht="14.25"/>
    <row r="803" ht="14.25"/>
    <row r="804" ht="14.25"/>
    <row r="805" ht="14.25"/>
    <row r="806" ht="14.25"/>
    <row r="807" ht="14.25"/>
    <row r="808" ht="14.25"/>
    <row r="809" ht="14.25"/>
    <row r="810" ht="14.25"/>
    <row r="811" ht="14.25"/>
    <row r="812" ht="14.25"/>
    <row r="813" ht="14.25"/>
    <row r="814" ht="14.25"/>
    <row r="815" ht="14.25"/>
    <row r="816" ht="14.25"/>
    <row r="817" ht="14.25"/>
    <row r="818" ht="14.25"/>
    <row r="819" ht="14.25"/>
    <row r="820" ht="14.25"/>
    <row r="821" ht="14.25"/>
    <row r="822" ht="14.25"/>
    <row r="823" ht="14.25"/>
    <row r="824" ht="14.25"/>
    <row r="825" ht="14.25"/>
    <row r="826" ht="14.25"/>
    <row r="827" ht="14.25"/>
    <row r="828" ht="14.25"/>
    <row r="829" ht="14.25"/>
    <row r="830" ht="14.25"/>
    <row r="831" ht="14.25"/>
    <row r="832" ht="14.25"/>
    <row r="833" ht="14.25"/>
    <row r="834" ht="14.25"/>
    <row r="835" ht="14.25"/>
    <row r="836" ht="14.25"/>
    <row r="837" ht="14.25"/>
    <row r="838" ht="14.25"/>
    <row r="839" ht="14.25"/>
    <row r="840" ht="14.25"/>
    <row r="841" ht="14.25"/>
    <row r="842" ht="14.25"/>
    <row r="843" ht="14.25"/>
    <row r="844" ht="14.25"/>
    <row r="845" ht="14.25"/>
    <row r="846" ht="14.25"/>
    <row r="847" ht="14.25"/>
    <row r="848" ht="14.25"/>
    <row r="849" ht="14.25"/>
    <row r="850" ht="14.25"/>
    <row r="851" ht="14.25"/>
    <row r="852" ht="14.25"/>
    <row r="853" ht="14.25"/>
    <row r="854" ht="14.25"/>
    <row r="855" ht="14.25"/>
    <row r="856" ht="14.25"/>
    <row r="857" ht="14.25"/>
    <row r="858" ht="14.25"/>
    <row r="859" ht="14.25"/>
    <row r="860" ht="14.25"/>
    <row r="861" ht="14.25"/>
    <row r="862" ht="14.25"/>
    <row r="863" ht="14.25"/>
    <row r="864" ht="14.25"/>
    <row r="865" ht="14.25"/>
    <row r="866" ht="14.25"/>
    <row r="867" ht="14.25"/>
    <row r="868" ht="14.25"/>
    <row r="869" ht="14.25"/>
    <row r="870" ht="14.25"/>
    <row r="871" ht="14.25"/>
    <row r="872" ht="14.25"/>
    <row r="873" ht="14.25"/>
    <row r="874" ht="14.25"/>
    <row r="875" ht="14.25"/>
    <row r="876" ht="14.25"/>
    <row r="877" ht="14.25"/>
    <row r="878" ht="14.25"/>
    <row r="879" ht="14.25"/>
    <row r="880" ht="14.25"/>
    <row r="881" ht="14.25"/>
    <row r="882" ht="14.25"/>
    <row r="883" ht="14.25"/>
    <row r="884" ht="14.25"/>
    <row r="885" ht="14.25"/>
    <row r="886" ht="14.25"/>
    <row r="887" ht="14.25"/>
    <row r="888" ht="14.25"/>
    <row r="889" ht="14.25"/>
    <row r="890" ht="14.25"/>
    <row r="891" ht="14.25"/>
    <row r="892" ht="14.25"/>
    <row r="893" ht="14.25"/>
    <row r="894" ht="14.25"/>
    <row r="895" ht="14.25"/>
    <row r="896" ht="14.25"/>
    <row r="897" ht="14.25"/>
    <row r="898" ht="14.25"/>
    <row r="899" ht="14.25"/>
    <row r="900" ht="14.25"/>
    <row r="901" ht="14.25"/>
    <row r="902" ht="14.25"/>
    <row r="903" ht="14.25"/>
    <row r="904" ht="14.25"/>
    <row r="905" ht="14.25"/>
    <row r="906" ht="14.25"/>
    <row r="907" ht="14.25"/>
    <row r="908" ht="14.25"/>
    <row r="909" ht="14.25"/>
    <row r="910" ht="14.25"/>
    <row r="911" ht="14.25"/>
    <row r="912" ht="14.25"/>
    <row r="913" ht="14.25"/>
    <row r="914" ht="14.25"/>
    <row r="915" ht="14.25"/>
    <row r="916" ht="14.25"/>
    <row r="917" ht="14.25"/>
    <row r="918" ht="14.25"/>
    <row r="919" ht="14.25"/>
    <row r="920" ht="14.25"/>
    <row r="921" ht="14.25"/>
    <row r="922" ht="14.25"/>
    <row r="923" ht="14.25"/>
    <row r="924" ht="14.25"/>
    <row r="925" ht="14.25"/>
    <row r="926" ht="14.25"/>
    <row r="927" ht="14.25"/>
    <row r="928" ht="14.25"/>
    <row r="929" ht="14.25"/>
    <row r="930" ht="14.25"/>
    <row r="931" ht="14.25"/>
    <row r="932" ht="14.25"/>
    <row r="933" ht="14.25"/>
    <row r="934" ht="14.25"/>
    <row r="935" ht="14.25"/>
    <row r="936" ht="14.25"/>
    <row r="937" ht="14.25"/>
    <row r="938" ht="14.25"/>
    <row r="939" ht="14.25"/>
    <row r="940" ht="14.25"/>
    <row r="941" ht="14.25"/>
    <row r="942" ht="14.25"/>
    <row r="943" ht="14.25"/>
    <row r="944" ht="14.25"/>
    <row r="945" ht="14.25"/>
    <row r="946" ht="14.25"/>
    <row r="947" ht="14.25"/>
    <row r="948" ht="14.25"/>
    <row r="949" ht="14.25"/>
    <row r="950" ht="14.25"/>
    <row r="951" ht="14.25"/>
    <row r="952" ht="14.25"/>
    <row r="953" ht="14.25"/>
    <row r="954" ht="14.25"/>
    <row r="955" ht="14.25"/>
    <row r="956" ht="14.25"/>
    <row r="957" ht="14.25"/>
    <row r="958" ht="14.25"/>
    <row r="959" ht="14.25"/>
    <row r="960" ht="14.25"/>
    <row r="961" ht="14.25"/>
    <row r="962" ht="14.25"/>
    <row r="963" ht="14.25"/>
    <row r="964" ht="14.25"/>
    <row r="965" ht="14.25"/>
    <row r="966" ht="14.25"/>
    <row r="967" ht="14.25"/>
    <row r="968" ht="14.25"/>
    <row r="969" ht="14.25"/>
    <row r="970" ht="14.25"/>
    <row r="971" ht="14.25"/>
    <row r="972" ht="14.25"/>
    <row r="973" ht="14.25"/>
    <row r="974" ht="14.25"/>
    <row r="975" ht="14.25"/>
    <row r="976" ht="14.25"/>
    <row r="977" ht="14.25"/>
    <row r="978" ht="14.25"/>
    <row r="979" ht="14.25"/>
    <row r="980" ht="14.25"/>
    <row r="981" ht="14.25"/>
    <row r="982" ht="14.25"/>
    <row r="983" ht="14.25"/>
    <row r="984" ht="14.25"/>
    <row r="985" ht="14.25"/>
    <row r="986" ht="14.25"/>
    <row r="987" ht="14.25"/>
    <row r="988" ht="14.25"/>
    <row r="989" ht="14.25"/>
    <row r="990" ht="14.25"/>
    <row r="991" ht="14.25"/>
    <row r="992" ht="14.25"/>
    <row r="993" ht="14.25"/>
    <row r="994" ht="14.25"/>
    <row r="995" ht="14.25"/>
    <row r="996" ht="14.25"/>
    <row r="997" ht="14.25"/>
    <row r="998" ht="14.25"/>
    <row r="999" ht="14.25"/>
    <row r="1000" ht="14.25"/>
    <row r="1001" ht="14.25"/>
    <row r="1002" ht="14.25"/>
    <row r="1003" ht="14.25"/>
    <row r="1004" ht="14.25"/>
    <row r="1005" ht="14.25"/>
    <row r="1006" ht="14.25"/>
    <row r="1007" ht="14.25"/>
    <row r="1008" ht="14.25"/>
    <row r="1009" ht="14.25"/>
    <row r="1010" ht="14.25"/>
    <row r="1011" ht="14.25"/>
    <row r="1012" ht="14.25"/>
    <row r="1013" ht="14.25"/>
    <row r="1014" ht="14.25"/>
    <row r="1015" ht="14.25"/>
    <row r="1016" ht="14.25"/>
    <row r="1017" ht="14.25"/>
    <row r="1018" ht="14.25"/>
    <row r="1019" ht="14.25"/>
    <row r="1020" ht="14.25"/>
    <row r="1021" ht="14.25"/>
    <row r="1022" ht="14.25"/>
    <row r="1023" ht="14.25"/>
    <row r="1024" ht="14.25"/>
    <row r="1025" ht="14.25"/>
    <row r="1026" ht="14.25"/>
    <row r="1027" ht="14.25"/>
    <row r="1028" ht="14.25"/>
    <row r="1029" ht="14.25"/>
    <row r="1030" ht="14.25"/>
    <row r="1031" ht="14.25"/>
    <row r="1032" ht="14.25"/>
    <row r="1033" ht="14.25"/>
    <row r="1034" ht="14.25"/>
    <row r="1035" ht="14.25"/>
    <row r="1036" ht="14.25"/>
    <row r="1037" ht="14.25"/>
    <row r="1038" ht="14.25"/>
    <row r="1039" ht="14.25"/>
    <row r="1040" ht="14.25"/>
    <row r="1041" ht="14.25"/>
    <row r="1042" ht="14.25"/>
    <row r="1043" ht="14.25"/>
    <row r="1044" ht="14.25"/>
    <row r="1045" ht="14.25"/>
    <row r="1046" ht="14.25"/>
    <row r="1047" ht="14.25"/>
    <row r="1048" ht="14.25"/>
    <row r="1049" ht="14.25"/>
    <row r="1050" ht="14.25"/>
    <row r="1051" ht="14.25"/>
    <row r="1052" ht="14.25"/>
    <row r="1053" ht="14.25"/>
    <row r="1054" ht="14.25"/>
    <row r="1055" ht="14.25"/>
    <row r="1056" ht="14.25"/>
    <row r="1057" ht="14.25"/>
    <row r="1058" ht="14.25"/>
    <row r="1059" ht="14.25"/>
    <row r="1060" ht="14.25"/>
    <row r="1061" ht="14.25"/>
    <row r="1062" ht="14.25"/>
    <row r="1063" ht="14.25"/>
    <row r="1064" ht="14.25"/>
    <row r="1065" ht="14.25"/>
    <row r="1066" ht="14.25"/>
    <row r="1067" ht="14.25"/>
    <row r="1068" ht="14.25"/>
    <row r="1069" ht="14.25"/>
    <row r="1070" ht="14.25"/>
    <row r="1071" ht="14.25"/>
    <row r="1072" ht="14.25"/>
    <row r="1073" ht="14.25"/>
    <row r="1074" ht="14.25"/>
    <row r="1075" ht="14.25"/>
    <row r="1076" ht="14.25"/>
    <row r="1077" ht="14.25"/>
    <row r="1078" ht="14.25"/>
    <row r="1079" ht="14.25"/>
    <row r="1080" ht="14.25"/>
    <row r="1081" ht="14.25"/>
    <row r="1082" ht="14.25"/>
    <row r="1083" ht="14.25"/>
    <row r="1084" ht="14.25"/>
    <row r="1085" ht="14.25"/>
    <row r="1086" ht="14.25"/>
    <row r="1087" ht="14.25"/>
    <row r="1088" ht="14.25"/>
    <row r="1089" ht="14.25"/>
    <row r="1090" ht="14.25"/>
    <row r="1091" ht="14.25"/>
    <row r="1092" ht="14.25"/>
    <row r="1093" ht="14.25"/>
    <row r="1094" ht="14.25"/>
    <row r="1095" ht="14.25"/>
    <row r="1096" ht="14.25"/>
    <row r="1097" ht="14.25"/>
    <row r="1098" ht="14.25"/>
    <row r="1099" ht="14.25"/>
    <row r="1100" ht="14.25"/>
    <row r="1101" ht="14.25"/>
    <row r="1102" ht="14.25"/>
    <row r="1103" ht="14.25"/>
    <row r="1104" ht="14.25"/>
    <row r="1105" ht="14.25"/>
    <row r="1106" ht="14.25"/>
    <row r="1107" ht="14.25"/>
    <row r="1108" ht="14.25"/>
    <row r="1109" ht="14.25"/>
    <row r="1110" ht="14.25"/>
    <row r="1111" ht="14.25"/>
    <row r="1112" ht="14.25"/>
    <row r="1113" ht="14.25"/>
    <row r="1114" ht="14.25"/>
    <row r="1115" ht="14.25"/>
    <row r="1116" ht="14.25"/>
    <row r="1117" ht="14.25"/>
    <row r="1118" ht="14.25"/>
    <row r="1119" ht="14.25"/>
    <row r="1120" ht="14.25"/>
    <row r="1121" ht="14.25"/>
    <row r="1122" ht="14.25"/>
    <row r="1123" ht="14.25"/>
    <row r="1124" ht="14.25"/>
    <row r="1125" ht="14.25"/>
    <row r="1126" ht="14.25"/>
    <row r="1127" ht="14.25"/>
    <row r="1128" ht="14.25"/>
    <row r="1129" ht="14.25"/>
    <row r="1130" ht="14.25"/>
    <row r="1131" ht="14.25"/>
    <row r="1132" ht="14.25"/>
    <row r="1133" ht="14.25"/>
    <row r="1134" ht="14.25"/>
    <row r="1135" ht="14.25"/>
    <row r="1136" ht="14.25"/>
    <row r="1137" ht="14.25"/>
    <row r="1138" ht="14.25"/>
    <row r="1139" ht="14.25"/>
    <row r="1140" ht="14.25"/>
    <row r="1141" ht="14.25"/>
    <row r="1142" ht="14.25"/>
    <row r="1143" ht="14.25"/>
    <row r="1144" ht="14.25"/>
    <row r="1145" ht="14.25"/>
    <row r="1146" ht="14.25"/>
    <row r="1147" ht="14.25"/>
    <row r="1148" ht="14.25"/>
    <row r="1149" ht="14.25"/>
    <row r="1150" ht="14.25"/>
    <row r="1151" ht="14.25"/>
    <row r="1152" ht="14.25"/>
    <row r="1153" ht="14.25"/>
    <row r="1154" ht="14.25"/>
    <row r="1155" ht="14.25"/>
    <row r="1156" ht="14.25"/>
    <row r="1157" ht="14.25"/>
    <row r="1158" ht="14.25"/>
    <row r="1159" ht="14.25"/>
    <row r="1160" ht="14.25"/>
    <row r="1161" ht="14.25"/>
    <row r="1162" ht="14.25"/>
    <row r="1163" ht="14.25"/>
    <row r="1164" ht="14.25"/>
    <row r="1165" ht="14.25"/>
    <row r="1166" ht="14.25"/>
    <row r="1167" ht="14.25"/>
    <row r="1168" ht="14.25"/>
    <row r="1169" ht="14.25"/>
    <row r="1170" ht="14.25"/>
    <row r="1171" ht="14.25"/>
    <row r="1172" ht="14.25"/>
    <row r="1173" ht="14.25"/>
    <row r="1174" ht="14.25"/>
    <row r="1175" ht="14.25"/>
    <row r="1176" ht="14.25"/>
    <row r="1177" ht="14.25"/>
    <row r="1178" ht="14.25"/>
    <row r="1179" ht="14.25"/>
    <row r="1180" ht="14.25"/>
    <row r="1181" ht="14.25"/>
    <row r="1182" ht="14.25"/>
    <row r="1183" ht="14.25"/>
    <row r="1184" ht="14.25"/>
    <row r="1185" ht="14.25"/>
    <row r="1186" ht="14.25"/>
    <row r="1187" ht="14.25"/>
    <row r="1188" ht="14.25"/>
    <row r="1189" ht="14.25"/>
    <row r="1190" ht="14.25"/>
    <row r="1191" ht="14.25"/>
    <row r="1192" ht="14.25"/>
    <row r="1193" ht="14.25"/>
    <row r="1194" ht="14.25"/>
    <row r="1195" ht="14.25"/>
    <row r="1196" ht="14.25"/>
    <row r="1197" ht="14.25"/>
    <row r="1198" ht="14.25"/>
    <row r="1199" ht="14.25"/>
    <row r="1200" ht="14.25"/>
    <row r="1201" ht="14.25"/>
    <row r="1202" ht="14.25"/>
    <row r="1203" ht="14.25"/>
    <row r="1204" ht="14.25"/>
    <row r="1205" ht="14.25"/>
    <row r="1206" ht="14.25"/>
    <row r="1207" ht="14.25"/>
    <row r="1208" ht="14.25"/>
    <row r="1209" ht="14.25"/>
    <row r="1210" ht="14.25"/>
    <row r="1211" ht="14.25"/>
    <row r="1212" ht="14.25"/>
    <row r="1213" ht="14.25"/>
    <row r="1214" ht="14.25"/>
    <row r="1215" ht="14.25"/>
    <row r="1216" ht="14.25"/>
    <row r="1217" ht="14.25"/>
    <row r="1218" ht="14.25"/>
    <row r="1219" ht="14.25"/>
    <row r="1220" ht="14.25"/>
    <row r="1221" ht="14.25"/>
    <row r="1222" ht="14.25"/>
    <row r="1223" ht="14.25"/>
    <row r="1224" ht="14.25"/>
    <row r="1225" ht="14.25"/>
    <row r="1226" ht="14.25"/>
    <row r="1227" ht="14.25"/>
    <row r="1228" ht="14.25"/>
    <row r="1229" ht="14.25"/>
    <row r="1230" ht="14.25"/>
    <row r="1231" ht="14.25"/>
    <row r="1232" ht="14.25"/>
    <row r="1233" ht="14.25"/>
    <row r="1234" ht="14.25"/>
    <row r="1235" ht="14.25"/>
    <row r="1236" ht="14.25"/>
    <row r="1237" ht="14.25"/>
    <row r="1238" ht="14.25"/>
    <row r="1239" ht="14.25"/>
    <row r="1240" ht="14.25"/>
    <row r="1241" ht="14.25"/>
    <row r="1242" ht="14.25"/>
    <row r="1243" ht="14.25"/>
    <row r="1244" ht="14.25"/>
    <row r="1245" ht="14.25"/>
    <row r="1246" ht="14.25"/>
    <row r="1247" ht="14.25"/>
    <row r="1248" ht="14.25"/>
    <row r="1249" ht="14.25"/>
    <row r="1250" ht="14.25"/>
    <row r="1251" ht="14.25"/>
    <row r="1252" ht="14.25"/>
    <row r="1253" ht="14.25"/>
    <row r="1254" ht="14.25"/>
    <row r="1255" ht="14.25"/>
    <row r="1256" ht="14.25"/>
    <row r="1257" ht="14.25"/>
    <row r="1258" ht="14.25"/>
    <row r="1259" ht="14.25"/>
    <row r="1260" ht="14.25"/>
    <row r="1261" ht="14.25"/>
    <row r="1262" ht="14.25"/>
    <row r="1263" ht="14.25"/>
    <row r="1264" ht="14.25"/>
    <row r="1265" ht="14.25"/>
    <row r="1266" ht="14.25"/>
    <row r="1267" ht="14.25"/>
    <row r="1268" ht="14.25"/>
    <row r="1269" ht="14.25"/>
    <row r="1270" ht="14.25"/>
    <row r="1271" ht="14.25"/>
    <row r="1272" ht="14.25"/>
    <row r="1273" ht="14.25"/>
    <row r="1274" ht="14.25"/>
    <row r="1275" ht="14.25"/>
    <row r="1276" ht="14.25"/>
    <row r="1277" ht="14.25"/>
    <row r="1278" ht="14.25"/>
    <row r="1279" ht="14.25"/>
    <row r="1280" ht="14.25"/>
    <row r="1281" ht="14.25"/>
    <row r="1282" ht="14.25"/>
    <row r="1283" ht="14.25"/>
    <row r="1284" ht="14.25"/>
    <row r="1285" ht="14.25"/>
    <row r="1286" ht="14.25"/>
    <row r="1287" ht="14.25"/>
    <row r="1288" ht="14.25"/>
    <row r="1289" ht="14.25"/>
    <row r="1290" ht="14.25"/>
    <row r="1291" ht="14.25"/>
    <row r="1292" ht="14.25"/>
    <row r="1293" ht="14.25"/>
    <row r="1294" ht="14.25"/>
    <row r="1295" ht="14.25"/>
    <row r="1296" ht="14.25"/>
    <row r="1297" ht="14.25"/>
    <row r="1298" ht="14.25"/>
    <row r="1299" ht="14.25"/>
    <row r="1300" ht="14.25"/>
    <row r="1301" ht="14.25"/>
    <row r="1302" ht="14.25"/>
    <row r="1303" ht="14.25"/>
    <row r="1304" ht="14.25"/>
    <row r="1305" ht="14.25"/>
    <row r="1306" ht="14.25"/>
    <row r="1307" ht="14.25"/>
    <row r="1308" ht="14.25"/>
    <row r="1309" ht="14.25"/>
    <row r="1310" ht="14.25"/>
    <row r="1311" ht="14.25"/>
    <row r="1312" ht="14.25"/>
    <row r="1313" ht="14.25"/>
    <row r="1314" ht="14.25"/>
    <row r="1315" ht="14.25"/>
    <row r="1316" ht="14.25"/>
    <row r="1317" ht="14.25"/>
    <row r="1318" ht="14.25"/>
    <row r="1319" ht="14.25"/>
    <row r="1320" ht="14.25"/>
    <row r="1321" ht="14.25"/>
    <row r="1322" ht="14.25"/>
    <row r="1323" ht="14.25"/>
    <row r="1324" ht="14.25"/>
    <row r="1325" ht="14.25"/>
    <row r="1326" ht="14.25"/>
    <row r="1327" ht="14.25"/>
    <row r="1328" ht="14.25"/>
    <row r="1329" ht="14.25"/>
    <row r="1330" ht="14.25"/>
    <row r="1331" ht="14.25"/>
    <row r="1332" ht="14.25"/>
    <row r="1333" ht="14.25"/>
    <row r="1334" ht="14.25"/>
    <row r="1335" ht="14.25"/>
    <row r="1336" ht="14.25"/>
    <row r="1337" ht="14.25"/>
    <row r="1338" ht="14.25"/>
    <row r="1339" ht="14.25"/>
    <row r="1340" ht="14.25"/>
    <row r="1341" ht="14.25"/>
    <row r="1342" ht="14.25"/>
    <row r="1343" ht="14.25"/>
    <row r="1344" ht="14.25"/>
    <row r="1345" ht="14.25"/>
    <row r="1346" ht="14.25"/>
    <row r="1347" ht="14.25"/>
    <row r="1348" ht="14.25"/>
    <row r="1349" ht="14.25"/>
    <row r="1350" ht="14.25"/>
    <row r="1351" ht="14.25"/>
    <row r="1352" ht="14.25"/>
    <row r="1353" ht="14.25"/>
    <row r="1354" ht="14.25"/>
    <row r="1355" ht="14.25"/>
    <row r="1356" ht="14.25"/>
    <row r="1357" ht="14.25"/>
    <row r="1358" ht="14.25"/>
    <row r="1359" ht="14.25"/>
    <row r="1360" ht="14.25"/>
    <row r="1361" ht="14.25"/>
    <row r="1362" ht="14.25"/>
    <row r="1363" ht="14.25"/>
    <row r="1364" ht="14.25"/>
    <row r="1365" ht="14.25"/>
    <row r="1366" ht="14.25"/>
    <row r="1367" ht="14.25"/>
    <row r="1368" ht="14.25"/>
    <row r="1369" ht="14.25"/>
    <row r="1370" ht="14.25"/>
    <row r="1371" ht="14.25"/>
    <row r="1372" ht="14.25"/>
    <row r="1373" ht="14.25"/>
    <row r="1374" ht="14.25"/>
    <row r="1375" ht="14.25"/>
    <row r="1376" ht="14.25"/>
    <row r="1377" ht="14.25"/>
    <row r="1378" ht="14.25"/>
    <row r="1379" ht="14.25"/>
    <row r="1380" ht="14.25"/>
    <row r="1381" ht="14.25"/>
    <row r="1382" ht="14.25"/>
    <row r="1383" ht="14.25"/>
    <row r="1384" ht="14.25"/>
    <row r="1385" ht="14.25"/>
    <row r="1386" ht="14.25"/>
    <row r="1387" ht="14.25"/>
    <row r="1388" ht="14.25"/>
    <row r="1389" ht="14.25"/>
    <row r="1390" ht="14.25"/>
    <row r="1391" ht="14.25"/>
    <row r="1392" ht="14.25"/>
    <row r="1393" ht="14.25"/>
    <row r="1394" ht="14.25"/>
    <row r="1395" ht="14.25"/>
    <row r="1396" ht="14.25"/>
    <row r="1397" ht="14.25"/>
    <row r="1398" ht="14.25"/>
    <row r="1399" ht="14.25"/>
    <row r="1400" ht="14.25"/>
    <row r="1401" ht="14.25"/>
    <row r="1402" ht="14.25"/>
    <row r="1403" ht="14.25"/>
    <row r="1404" ht="14.25"/>
    <row r="1405" ht="14.25"/>
    <row r="1406" ht="14.25"/>
    <row r="1407" ht="14.25"/>
    <row r="1408" ht="14.25"/>
    <row r="1409" ht="14.25"/>
    <row r="1410" ht="14.25"/>
    <row r="1411" ht="14.25"/>
    <row r="1412" ht="14.25"/>
    <row r="1413" ht="14.25"/>
    <row r="1414" ht="14.25"/>
    <row r="1415" ht="14.25"/>
    <row r="1416" ht="14.25"/>
    <row r="1417" ht="14.25"/>
    <row r="1418" ht="14.25"/>
    <row r="1419" ht="14.25"/>
    <row r="1420" ht="14.25"/>
    <row r="1421" ht="14.25"/>
    <row r="1422" ht="14.25"/>
    <row r="1423" ht="14.25"/>
    <row r="1424" ht="14.25"/>
    <row r="1425" ht="14.25"/>
    <row r="1426" ht="14.25"/>
    <row r="1427" ht="14.25"/>
    <row r="1428" ht="14.25"/>
    <row r="1429" ht="14.25"/>
    <row r="1430" ht="14.25"/>
    <row r="1431" ht="14.25"/>
    <row r="1432" ht="14.25"/>
    <row r="1433" ht="14.25"/>
    <row r="1434" ht="14.25"/>
    <row r="1435" ht="14.25"/>
    <row r="1436" ht="14.25"/>
    <row r="1437" ht="14.25"/>
    <row r="1438" ht="14.25"/>
    <row r="1439" ht="14.25"/>
    <row r="1440" ht="14.25"/>
    <row r="1441" ht="14.25"/>
    <row r="1442" ht="14.25"/>
    <row r="1443" ht="14.25"/>
    <row r="1444" ht="14.25"/>
    <row r="1445" ht="14.25"/>
    <row r="1446" ht="14.25"/>
    <row r="1447" ht="14.25"/>
    <row r="1448" ht="14.25"/>
    <row r="1449" ht="14.25"/>
    <row r="1450" ht="14.25"/>
    <row r="1451" ht="14.25"/>
    <row r="1452" ht="14.25"/>
    <row r="1453" ht="14.25"/>
    <row r="1454" ht="14.25"/>
    <row r="1455" ht="14.25"/>
    <row r="1456" ht="14.25"/>
    <row r="1457" ht="14.25"/>
    <row r="1458" ht="14.25"/>
    <row r="1459" ht="14.25"/>
    <row r="1460" ht="14.25"/>
    <row r="1461" ht="14.25"/>
    <row r="1462" ht="14.25"/>
    <row r="1463" ht="14.25"/>
    <row r="1464" ht="14.25"/>
    <row r="1465" ht="14.25"/>
    <row r="1466" ht="14.25"/>
    <row r="1467" ht="14.25"/>
    <row r="1468" ht="14.25"/>
    <row r="1469" ht="14.25"/>
    <row r="1470" ht="14.25"/>
    <row r="1471" ht="14.25"/>
    <row r="1472" ht="14.25"/>
    <row r="1473" ht="14.25"/>
    <row r="1474" ht="14.25"/>
    <row r="1475" ht="14.25"/>
    <row r="1476" ht="14.25"/>
    <row r="1477" ht="14.25"/>
    <row r="1478" ht="14.25"/>
    <row r="1479" ht="14.25"/>
    <row r="1480" ht="14.25"/>
    <row r="1481" ht="14.25"/>
    <row r="1482" ht="14.25"/>
    <row r="1483" ht="14.25"/>
    <row r="1484" ht="14.25"/>
    <row r="1485" ht="14.25"/>
    <row r="1486" ht="14.25"/>
    <row r="1487" ht="14.25"/>
    <row r="1488" ht="14.25"/>
    <row r="1489" ht="14.25"/>
    <row r="1490" ht="14.25"/>
    <row r="1491" ht="14.25"/>
    <row r="1492" ht="14.25"/>
    <row r="1493" ht="14.25"/>
    <row r="1494" ht="14.25"/>
    <row r="1495" ht="14.25"/>
    <row r="1496" ht="14.25"/>
    <row r="1497" ht="14.25"/>
    <row r="1498" ht="14.25"/>
    <row r="1499" ht="14.25"/>
    <row r="1500" ht="14.25"/>
    <row r="1501" ht="14.25"/>
    <row r="1502" ht="14.25"/>
    <row r="1503" ht="14.25"/>
    <row r="1504" ht="14.25"/>
    <row r="1505" ht="14.25"/>
    <row r="1506" ht="14.25"/>
    <row r="1507" ht="14.25"/>
    <row r="1508" ht="14.25"/>
    <row r="1509" ht="14.25"/>
    <row r="1510" ht="14.25"/>
    <row r="1511" ht="14.25"/>
    <row r="1512" ht="14.25"/>
    <row r="1513" ht="14.25"/>
    <row r="1514" ht="14.25"/>
    <row r="1515" ht="14.25"/>
    <row r="1516" ht="14.25"/>
    <row r="1517" ht="14.25"/>
    <row r="1518" ht="14.25"/>
    <row r="1519" ht="14.25"/>
    <row r="1520" ht="14.25"/>
    <row r="1521" ht="14.25"/>
    <row r="1522" ht="14.25"/>
    <row r="1523" ht="14.25"/>
    <row r="1524" ht="14.25"/>
    <row r="1525" ht="14.25"/>
    <row r="1526" ht="14.25"/>
    <row r="1527" ht="14.25"/>
    <row r="1528" ht="14.25"/>
    <row r="1529" ht="14.25"/>
    <row r="1530" ht="14.25"/>
    <row r="1531" ht="14.25"/>
    <row r="1532" ht="14.25"/>
    <row r="1533" ht="14.25"/>
    <row r="1534" ht="14.25"/>
    <row r="1535" ht="14.25"/>
    <row r="1536" ht="14.25"/>
    <row r="1537" ht="14.25"/>
    <row r="1538" ht="14.25"/>
    <row r="1539" ht="14.25"/>
    <row r="1540" ht="14.25"/>
    <row r="1541" ht="14.25"/>
    <row r="1542" ht="14.25"/>
    <row r="1543" ht="14.25"/>
    <row r="1544" ht="14.25"/>
    <row r="1545" ht="14.25"/>
    <row r="1546" ht="14.25"/>
    <row r="1547" ht="14.25"/>
    <row r="1548" ht="14.25"/>
    <row r="1549" ht="14.25"/>
    <row r="1550" ht="14.25"/>
    <row r="1551" ht="14.25"/>
    <row r="1552" ht="14.25"/>
    <row r="1553" ht="14.25"/>
    <row r="1554" ht="14.25"/>
    <row r="1555" ht="14.25"/>
    <row r="1556" ht="14.25"/>
    <row r="1557" ht="14.25"/>
    <row r="1558" ht="14.25"/>
    <row r="1559" ht="14.25"/>
    <row r="1560" ht="14.25"/>
    <row r="1561" ht="14.25"/>
    <row r="1562" ht="14.25"/>
    <row r="1563" ht="14.25"/>
    <row r="1564" ht="14.25"/>
    <row r="1565" ht="14.25"/>
    <row r="1566" ht="14.25"/>
    <row r="1567" ht="14.25"/>
    <row r="1568" ht="14.25"/>
    <row r="1569" ht="14.25"/>
    <row r="1570" ht="14.25"/>
    <row r="1571" ht="14.25"/>
    <row r="1572" ht="14.25"/>
    <row r="1573" ht="14.25"/>
    <row r="1574" ht="14.25"/>
    <row r="1575" ht="14.25"/>
    <row r="1576" ht="14.25"/>
    <row r="1577" ht="14.25"/>
    <row r="1578" ht="14.25"/>
    <row r="1579" ht="14.25"/>
    <row r="1580" ht="14.25"/>
    <row r="1581" ht="14.25"/>
    <row r="1582" ht="14.25"/>
    <row r="1583" ht="14.25"/>
    <row r="1584" ht="14.25"/>
    <row r="1585" ht="14.25"/>
    <row r="1586" ht="14.25"/>
    <row r="1587" ht="14.25"/>
    <row r="1588" ht="14.25"/>
    <row r="1589" ht="14.25"/>
    <row r="1590" ht="14.25"/>
    <row r="1591" ht="14.25"/>
    <row r="1592" ht="14.25"/>
    <row r="1593" ht="14.25"/>
    <row r="1594" ht="14.25"/>
    <row r="1595" ht="14.25"/>
    <row r="1596" ht="14.25"/>
    <row r="1597" ht="14.25"/>
    <row r="1598" ht="14.25"/>
    <row r="1599" ht="14.25"/>
    <row r="1600" ht="14.25"/>
    <row r="1601" ht="14.25"/>
    <row r="1602" ht="14.25"/>
    <row r="1603" ht="14.25"/>
    <row r="1604" ht="14.25"/>
    <row r="1605" ht="14.25"/>
    <row r="1606" ht="14.25"/>
    <row r="1607" ht="14.25"/>
    <row r="1608" ht="14.25"/>
    <row r="1609" ht="14.25"/>
    <row r="1610" ht="14.25"/>
    <row r="1611" ht="14.25"/>
    <row r="1612" ht="14.25"/>
    <row r="1613" ht="14.25"/>
    <row r="1614" ht="14.25"/>
    <row r="1615" ht="14.25"/>
    <row r="1616" ht="14.25"/>
    <row r="1617" ht="14.25"/>
    <row r="1618" ht="14.25"/>
    <row r="1619" ht="14.25"/>
    <row r="1620" ht="14.25"/>
    <row r="1621" ht="14.25"/>
    <row r="1622" ht="14.25"/>
    <row r="1623" ht="14.25"/>
    <row r="1624" ht="14.25"/>
    <row r="1625" ht="14.25"/>
    <row r="1626" ht="14.25"/>
    <row r="1627" ht="14.25"/>
    <row r="1628" ht="14.25"/>
    <row r="1629" ht="14.25"/>
    <row r="1630" ht="14.25"/>
    <row r="1631" ht="14.25"/>
    <row r="1632" ht="14.25"/>
    <row r="1633" ht="14.25"/>
    <row r="1634" ht="14.25"/>
    <row r="1635" ht="14.25"/>
    <row r="1636" ht="14.25"/>
    <row r="1637" ht="14.25"/>
    <row r="1638" ht="14.25"/>
    <row r="1639" ht="14.25"/>
    <row r="1640" ht="14.25"/>
    <row r="1641" ht="14.25"/>
    <row r="1642" ht="14.25"/>
    <row r="1643" ht="14.25"/>
    <row r="1644" ht="14.25"/>
    <row r="1645" ht="14.25"/>
    <row r="1646" ht="14.25"/>
    <row r="1647" ht="14.25"/>
    <row r="1648" ht="14.25"/>
    <row r="1649" ht="14.25"/>
    <row r="1650" ht="14.25"/>
    <row r="1651" ht="14.25"/>
    <row r="1652" ht="14.25"/>
    <row r="1653" ht="14.25"/>
    <row r="1654" ht="14.25"/>
    <row r="1655" ht="14.25"/>
    <row r="1656" ht="14.25"/>
    <row r="1657" ht="14.25"/>
    <row r="1658" ht="14.25"/>
    <row r="1659" ht="14.25"/>
    <row r="1660" ht="14.25"/>
    <row r="1661" ht="14.25"/>
    <row r="1662" ht="14.25"/>
    <row r="1663" ht="14.25"/>
    <row r="1664" ht="14.25"/>
    <row r="1665" ht="14.25"/>
    <row r="1666" ht="14.25"/>
    <row r="1667" ht="14.25"/>
    <row r="1668" ht="14.25"/>
    <row r="1669" ht="14.25"/>
    <row r="1670" ht="14.25"/>
    <row r="1671" ht="14.25"/>
    <row r="1672" ht="14.25"/>
    <row r="1673" ht="14.25"/>
    <row r="1674" ht="14.25"/>
    <row r="1675" ht="14.25"/>
    <row r="1676" ht="14.25"/>
    <row r="1677" ht="14.25"/>
    <row r="1678" ht="14.25"/>
    <row r="1679" ht="14.25"/>
    <row r="1680" ht="14.25"/>
    <row r="1681" ht="14.25"/>
    <row r="1682" ht="14.25"/>
    <row r="1683" ht="14.25"/>
    <row r="1684" ht="14.25"/>
    <row r="1685" ht="14.25"/>
    <row r="1686" ht="14.25"/>
    <row r="1687" ht="14.25"/>
    <row r="1688" ht="14.25"/>
    <row r="1689" ht="14.25"/>
    <row r="1690" ht="14.25"/>
    <row r="1691" ht="14.25"/>
    <row r="1692" ht="14.25"/>
    <row r="1693" ht="14.25"/>
    <row r="1694" ht="14.25"/>
    <row r="1695" ht="14.25"/>
    <row r="1696" ht="14.25"/>
    <row r="1697" ht="14.25"/>
    <row r="1698" ht="14.25"/>
    <row r="1699" ht="14.25"/>
    <row r="1700" ht="14.25"/>
    <row r="1701" ht="14.25"/>
    <row r="1702" ht="14.25"/>
    <row r="1703" ht="14.25"/>
    <row r="1704" ht="14.25"/>
    <row r="1705" ht="14.25"/>
    <row r="1706" ht="14.25"/>
    <row r="1707" ht="14.25"/>
    <row r="1708" ht="14.25"/>
    <row r="1709" ht="14.25"/>
    <row r="1710" ht="14.25"/>
    <row r="1711" ht="14.25"/>
    <row r="1712" ht="14.25"/>
    <row r="1713" ht="14.25"/>
    <row r="1714" ht="14.25"/>
    <row r="1715" ht="14.25"/>
    <row r="1716" ht="14.25"/>
    <row r="1717" ht="14.25"/>
    <row r="1718" ht="14.25"/>
    <row r="1719" ht="14.25"/>
    <row r="1720" ht="14.25"/>
    <row r="1721" ht="14.25"/>
    <row r="1722" ht="14.25"/>
    <row r="1723" ht="14.25"/>
    <row r="1724" ht="14.25"/>
    <row r="1725" ht="14.25"/>
    <row r="1726" ht="14.25"/>
    <row r="1727" ht="14.25"/>
    <row r="1728" ht="14.25"/>
    <row r="1729" ht="14.25"/>
    <row r="1730" ht="14.25"/>
    <row r="1731" ht="14.25"/>
    <row r="1732" ht="14.25"/>
    <row r="1733" ht="14.25"/>
    <row r="1734" ht="14.25"/>
    <row r="1735" ht="14.25"/>
    <row r="1736" ht="14.25"/>
    <row r="1737" ht="14.25"/>
    <row r="1738" ht="14.25"/>
    <row r="1739" ht="14.25"/>
    <row r="1740" ht="14.25"/>
    <row r="1741" ht="14.25"/>
    <row r="1742" ht="14.25"/>
    <row r="1743" ht="14.25"/>
    <row r="1744" ht="14.25"/>
    <row r="1745" ht="14.25"/>
    <row r="1746" ht="14.25"/>
    <row r="1747" ht="14.25"/>
    <row r="1748" ht="14.25"/>
    <row r="1749" ht="14.25"/>
    <row r="1750" ht="14.25"/>
    <row r="1751" ht="14.25"/>
    <row r="1752" ht="14.25"/>
    <row r="1753" ht="14.25"/>
    <row r="1754" ht="14.25"/>
    <row r="1755" ht="14.25"/>
    <row r="1756" ht="14.25"/>
    <row r="1757" ht="14.25"/>
    <row r="1758" ht="14.25"/>
    <row r="1759" ht="14.25"/>
    <row r="1760" ht="14.25"/>
    <row r="1761" ht="14.25"/>
    <row r="1762" ht="14.25"/>
    <row r="1763" ht="14.25"/>
    <row r="1764" ht="14.25"/>
    <row r="1765" ht="14.25"/>
    <row r="1766" ht="14.25"/>
    <row r="1767" ht="14.25"/>
    <row r="1768" ht="14.25"/>
    <row r="1769" ht="14.25"/>
    <row r="1770" ht="14.25"/>
    <row r="1771" ht="14.25"/>
    <row r="1772" ht="14.25"/>
    <row r="1773" ht="14.25"/>
    <row r="1774" ht="14.25"/>
    <row r="1775" ht="14.25"/>
    <row r="1776" ht="14.25"/>
    <row r="1777" ht="14.25"/>
    <row r="1778" ht="14.25"/>
    <row r="1779" ht="14.25"/>
    <row r="1780" ht="14.25"/>
    <row r="1781" ht="14.25"/>
    <row r="1782" ht="14.25"/>
    <row r="1783" ht="14.25"/>
    <row r="1784" ht="14.25"/>
    <row r="1785" ht="14.25"/>
    <row r="1786" ht="14.25"/>
    <row r="1787" ht="14.25"/>
    <row r="1788" ht="14.25"/>
    <row r="1789" ht="14.25"/>
    <row r="1790" ht="14.25"/>
    <row r="1791" ht="14.25"/>
    <row r="1792" ht="14.25"/>
    <row r="1793" ht="14.25"/>
    <row r="1794" ht="14.25"/>
    <row r="1795" ht="14.25"/>
    <row r="1796" ht="14.25"/>
    <row r="1797" ht="14.25"/>
    <row r="1798" ht="14.25"/>
    <row r="1799" ht="14.25"/>
    <row r="1800" ht="14.25"/>
    <row r="1801" ht="14.25"/>
    <row r="1802" ht="14.25"/>
    <row r="1803" ht="14.25"/>
    <row r="1804" ht="14.25"/>
    <row r="1805" ht="14.25"/>
    <row r="1806" ht="14.25"/>
    <row r="1807" ht="14.25"/>
    <row r="1808" ht="14.25"/>
    <row r="1809" ht="14.25"/>
    <row r="1810" ht="14.25"/>
    <row r="1811" ht="14.25"/>
    <row r="1812" ht="14.25"/>
    <row r="1813" ht="14.25"/>
    <row r="1814" ht="14.25"/>
    <row r="1815" ht="14.25"/>
    <row r="1816" ht="14.25"/>
    <row r="1817" ht="14.25"/>
    <row r="1818" ht="14.25"/>
    <row r="1819" ht="14.25"/>
    <row r="1820" ht="14.25"/>
    <row r="1821" ht="14.25"/>
    <row r="1822" ht="14.25"/>
    <row r="1823" ht="14.25"/>
    <row r="1824" ht="14.25"/>
    <row r="1825" ht="14.25"/>
    <row r="1826" ht="14.25"/>
    <row r="1827" ht="14.25"/>
    <row r="1828" ht="14.25"/>
    <row r="1829" ht="14.25"/>
    <row r="1830" ht="14.25"/>
    <row r="1831" ht="14.25"/>
    <row r="1832" ht="14.25"/>
    <row r="1833" ht="14.25"/>
    <row r="1834" ht="14.25"/>
    <row r="1835" ht="14.25"/>
    <row r="1836" ht="14.25"/>
    <row r="1837" ht="14.25"/>
    <row r="1838" ht="14.25"/>
    <row r="1839" ht="14.25"/>
    <row r="1840" ht="14.25"/>
    <row r="1841" ht="14.25"/>
    <row r="1842" ht="14.25"/>
    <row r="1843" ht="14.25"/>
    <row r="1844" ht="14.25"/>
    <row r="1845" ht="14.25"/>
    <row r="1846" ht="14.25"/>
    <row r="1847" ht="14.25"/>
    <row r="1848" ht="14.25"/>
    <row r="1849" ht="14.25"/>
    <row r="1850" ht="14.25"/>
    <row r="1851" ht="14.25"/>
    <row r="1852" ht="14.25"/>
    <row r="1853" ht="14.25"/>
    <row r="1854" ht="14.25"/>
    <row r="1855" ht="14.25"/>
    <row r="1856" ht="14.25"/>
    <row r="1857" ht="14.25"/>
    <row r="1858" ht="14.25"/>
    <row r="1859" ht="14.25"/>
    <row r="1860" ht="14.25"/>
    <row r="1861" ht="14.25"/>
    <row r="1862" ht="14.25"/>
    <row r="1863" ht="14.25"/>
    <row r="1864" ht="14.25"/>
    <row r="1865" ht="14.25"/>
    <row r="1866" ht="14.25"/>
    <row r="1867" ht="14.25"/>
    <row r="1868" ht="14.25"/>
    <row r="1869" ht="14.25"/>
    <row r="1870" ht="14.25"/>
    <row r="1871" ht="14.25"/>
    <row r="1872" ht="14.25"/>
    <row r="1873" ht="14.25"/>
    <row r="1874" ht="14.25"/>
    <row r="1875" ht="14.25"/>
    <row r="1876" ht="14.25"/>
    <row r="1877" ht="14.25"/>
    <row r="1878" ht="14.25"/>
    <row r="1879" ht="14.25"/>
    <row r="1880" ht="14.25"/>
    <row r="1881" ht="14.25"/>
    <row r="1882" ht="14.25"/>
    <row r="1883" ht="14.25"/>
    <row r="1884" ht="14.25"/>
    <row r="1885" ht="14.25"/>
    <row r="1886" ht="14.25"/>
    <row r="1887" ht="14.25"/>
    <row r="1888" ht="14.25"/>
    <row r="1889" ht="14.25"/>
    <row r="1890" ht="14.25"/>
    <row r="1891" ht="14.25"/>
    <row r="1892" ht="14.25"/>
    <row r="1893" ht="14.25"/>
    <row r="1894" ht="14.25"/>
    <row r="1895" ht="14.25"/>
    <row r="1896" ht="14.25"/>
    <row r="1897" ht="14.25"/>
    <row r="1898" ht="14.25"/>
    <row r="1899" ht="14.25"/>
    <row r="1900" ht="14.25"/>
    <row r="1901" ht="14.25"/>
    <row r="1902" ht="14.25"/>
    <row r="1903" ht="14.25"/>
    <row r="1904" ht="14.25"/>
    <row r="1905" ht="14.25"/>
    <row r="1906" ht="14.25"/>
    <row r="1907" ht="14.25"/>
    <row r="1908" ht="14.25"/>
    <row r="1909" ht="14.25"/>
    <row r="1910" ht="14.25"/>
    <row r="1911" ht="14.25"/>
    <row r="1912" ht="14.25"/>
    <row r="1913" ht="14.25"/>
    <row r="1914" ht="14.25"/>
    <row r="1915" ht="14.25"/>
    <row r="1916" ht="14.25"/>
    <row r="1917" ht="14.25"/>
    <row r="1918" ht="14.25"/>
    <row r="1919" ht="14.25"/>
    <row r="1920" ht="14.25"/>
    <row r="1921" ht="14.25"/>
    <row r="1922" ht="14.25"/>
    <row r="1923" ht="14.25"/>
    <row r="1924" ht="14.25"/>
    <row r="1925" ht="14.25"/>
    <row r="1926" ht="14.25"/>
    <row r="1927" ht="14.25"/>
    <row r="1928" ht="14.25"/>
    <row r="1929" ht="14.25"/>
    <row r="1930" ht="14.25"/>
    <row r="1931" ht="14.25"/>
    <row r="1932" ht="14.25"/>
    <row r="1933" ht="14.25"/>
    <row r="1934" ht="14.25"/>
    <row r="1935" ht="14.25"/>
    <row r="1936" ht="14.25"/>
    <row r="1937" ht="14.25"/>
    <row r="1938" ht="14.25"/>
    <row r="1939" ht="14.25"/>
    <row r="1940" ht="14.25"/>
    <row r="1941" ht="14.25"/>
    <row r="1942" ht="14.25"/>
    <row r="1943" ht="14.25"/>
    <row r="1944" ht="14.25"/>
    <row r="1945" ht="14.25"/>
    <row r="1946" ht="14.25"/>
    <row r="1947" ht="14.25"/>
    <row r="1948" ht="14.25"/>
    <row r="1949" ht="14.25"/>
    <row r="1950" ht="14.25"/>
    <row r="1951" ht="14.25"/>
    <row r="1952" ht="14.25"/>
    <row r="1953" ht="14.25"/>
    <row r="1954" ht="14.25"/>
    <row r="1955" ht="14.25"/>
    <row r="1956" ht="14.25"/>
    <row r="1957" ht="14.25"/>
    <row r="1958" ht="14.25"/>
    <row r="1959" ht="14.25"/>
    <row r="1960" ht="14.25"/>
    <row r="1961" ht="14.25"/>
    <row r="1962" ht="14.25"/>
    <row r="1963" ht="14.25"/>
    <row r="1964" ht="14.25"/>
    <row r="1965" ht="14.25"/>
    <row r="1966" ht="14.25"/>
    <row r="1967" ht="14.25"/>
    <row r="1968" ht="14.25"/>
    <row r="1969" ht="14.25"/>
    <row r="1970" ht="14.25"/>
    <row r="1971" ht="14.25"/>
    <row r="1972" ht="14.25"/>
    <row r="1973" ht="14.25"/>
    <row r="1974" ht="14.25"/>
    <row r="1975" ht="14.25"/>
    <row r="1976" ht="14.25"/>
    <row r="1977" ht="14.25"/>
    <row r="1978" ht="14.25"/>
    <row r="1979" ht="14.25"/>
    <row r="1980" ht="14.25"/>
    <row r="1981" ht="14.25"/>
    <row r="1982" ht="14.25"/>
    <row r="1983" ht="14.25"/>
    <row r="1984" ht="14.25"/>
    <row r="1985" ht="14.25"/>
    <row r="1986" ht="14.25"/>
    <row r="1987" ht="14.25"/>
    <row r="1988" ht="14.25"/>
    <row r="1989" ht="14.25"/>
    <row r="1990" ht="14.25"/>
    <row r="1991" ht="14.25"/>
    <row r="1992" ht="14.25"/>
    <row r="1993" ht="14.25"/>
    <row r="1994" ht="14.25"/>
    <row r="1995" ht="14.25"/>
    <row r="1996" ht="14.25"/>
    <row r="1997" ht="14.25"/>
    <row r="1998" ht="14.25"/>
    <row r="1999" ht="14.25"/>
    <row r="2000" ht="14.25"/>
    <row r="2001" ht="14.25"/>
    <row r="2002" ht="14.25"/>
    <row r="2003" ht="14.25"/>
    <row r="2004" ht="14.25"/>
    <row r="2005" ht="14.25"/>
    <row r="2006" ht="14.25"/>
    <row r="2007" ht="14.25"/>
    <row r="2008" ht="14.25"/>
    <row r="2009" ht="14.25"/>
    <row r="2010" ht="14.25"/>
    <row r="2011" ht="14.25"/>
    <row r="2012" ht="14.25"/>
    <row r="2013" ht="14.25"/>
    <row r="2014" ht="14.25"/>
    <row r="2015" ht="14.25"/>
    <row r="2016" ht="14.25"/>
    <row r="2017" ht="14.25"/>
    <row r="2018" ht="14.25"/>
    <row r="2019" ht="14.25"/>
    <row r="2020" ht="14.25"/>
    <row r="2021" ht="14.25"/>
    <row r="2022" ht="14.25"/>
    <row r="2023" ht="14.25"/>
    <row r="2024" ht="14.25"/>
    <row r="2025" ht="14.25"/>
    <row r="2026" ht="14.25"/>
    <row r="2027" ht="14.25"/>
    <row r="2028" ht="14.25"/>
    <row r="2029" ht="14.25"/>
    <row r="2030" ht="14.25"/>
    <row r="2031" ht="14.25"/>
    <row r="2032" ht="14.25"/>
    <row r="2033" ht="14.25"/>
    <row r="2034" ht="14.25"/>
    <row r="2035" ht="14.25"/>
    <row r="2036" ht="14.25"/>
    <row r="2037" ht="14.25"/>
    <row r="2038" ht="14.25"/>
    <row r="2039" ht="14.25"/>
    <row r="2040" ht="14.25"/>
    <row r="2041" ht="14.25"/>
    <row r="2042" ht="14.25"/>
    <row r="2043" ht="14.25"/>
    <row r="2044" ht="14.25"/>
    <row r="2045" ht="14.25"/>
    <row r="2046" ht="14.25"/>
    <row r="2047" ht="14.25"/>
    <row r="2048" ht="14.25"/>
    <row r="2049" ht="14.25"/>
    <row r="2050" ht="14.25"/>
    <row r="2051" ht="14.25"/>
    <row r="2052" ht="14.25"/>
    <row r="2053" ht="14.25"/>
    <row r="2054" ht="14.25"/>
    <row r="2055" ht="14.25"/>
    <row r="2056" ht="14.25"/>
    <row r="2057" ht="14.25"/>
    <row r="2058" ht="14.25"/>
    <row r="2059" ht="14.25"/>
    <row r="2060" ht="14.25"/>
    <row r="2061" ht="14.25"/>
    <row r="2062" ht="14.25"/>
    <row r="2063" ht="14.25"/>
    <row r="2064" ht="14.25"/>
    <row r="2065" ht="14.25"/>
    <row r="2066" ht="14.25"/>
    <row r="2067" ht="14.25"/>
    <row r="2068" ht="14.25"/>
    <row r="2069" ht="14.25"/>
    <row r="2070" ht="14.25"/>
    <row r="2071" ht="14.25"/>
    <row r="2072" ht="14.25"/>
    <row r="2073" ht="14.25"/>
    <row r="2074" ht="14.25"/>
    <row r="2075" ht="14.25"/>
    <row r="2076" ht="14.25"/>
    <row r="2077" ht="14.25"/>
    <row r="2078" ht="14.25"/>
    <row r="2079" ht="14.25"/>
    <row r="2080" ht="14.25"/>
    <row r="2081" ht="14.25"/>
    <row r="2082" ht="14.25"/>
    <row r="2083" ht="14.25"/>
    <row r="2084" ht="14.25"/>
    <row r="2085" ht="14.25"/>
    <row r="2086" ht="14.25"/>
    <row r="2087" ht="14.25"/>
    <row r="2088" ht="14.25"/>
    <row r="2089" ht="14.25"/>
    <row r="2090" ht="14.25"/>
    <row r="2091" ht="14.25"/>
    <row r="2092" ht="14.25"/>
    <row r="2093" ht="14.25"/>
    <row r="2094" ht="14.25"/>
    <row r="2095" ht="14.25"/>
    <row r="2096" ht="14.25"/>
    <row r="2097" ht="14.25"/>
    <row r="2098" ht="14.25"/>
    <row r="2099" ht="14.25"/>
    <row r="2100" ht="14.25"/>
    <row r="2101" ht="14.25"/>
    <row r="2102" ht="14.25"/>
    <row r="2103" ht="14.25"/>
    <row r="2104" ht="14.25"/>
    <row r="2105" ht="14.25"/>
    <row r="2106" ht="14.25"/>
    <row r="2107" ht="14.25"/>
    <row r="2108" ht="14.25"/>
    <row r="2109" ht="14.25"/>
    <row r="2110" ht="14.25"/>
    <row r="2111" ht="14.25"/>
    <row r="2112" ht="14.25"/>
    <row r="2113" ht="14.25"/>
    <row r="2114" ht="14.25"/>
    <row r="2115" ht="14.25"/>
    <row r="2116" ht="14.25"/>
    <row r="2117" ht="14.25"/>
    <row r="2118" ht="14.25"/>
    <row r="2119" ht="14.25"/>
    <row r="2120" ht="14.25"/>
    <row r="2121" ht="14.25"/>
    <row r="2122" ht="14.25"/>
    <row r="2123" ht="14.25"/>
    <row r="2124" ht="14.25"/>
    <row r="2125" ht="14.25"/>
    <row r="2126" ht="14.25"/>
    <row r="2127" ht="14.25"/>
    <row r="2128" ht="14.25"/>
    <row r="2129" ht="14.25"/>
    <row r="2130" ht="14.25"/>
    <row r="2131" ht="14.25"/>
    <row r="2132" ht="14.25"/>
    <row r="2133" ht="14.25"/>
    <row r="2134" ht="14.25"/>
    <row r="2135" ht="14.25"/>
    <row r="2136" ht="14.25"/>
    <row r="2137" ht="14.25"/>
    <row r="2138" ht="14.25"/>
    <row r="2139" ht="14.25"/>
    <row r="2140" ht="14.25"/>
    <row r="2141" ht="14.25"/>
    <row r="2142" ht="14.25"/>
    <row r="2143" ht="14.25"/>
    <row r="2144" ht="14.25"/>
    <row r="2145" ht="14.25"/>
    <row r="2146" ht="14.25"/>
    <row r="2147" ht="14.25"/>
    <row r="2148" ht="14.25"/>
    <row r="2149" ht="14.25"/>
    <row r="2150" ht="14.25"/>
    <row r="2151" ht="14.25"/>
    <row r="2152" ht="14.25"/>
    <row r="2153" ht="14.25"/>
    <row r="2154" ht="14.25"/>
    <row r="2155" ht="14.25"/>
    <row r="2156" ht="14.25"/>
    <row r="2157" ht="14.25"/>
    <row r="2158" ht="14.25"/>
    <row r="2159" ht="14.25"/>
    <row r="2160" ht="14.25"/>
    <row r="2161" ht="14.25"/>
    <row r="2162" ht="14.25"/>
    <row r="2163" ht="14.25"/>
    <row r="2164" ht="14.25"/>
    <row r="2165" ht="14.25"/>
    <row r="2166" ht="14.25"/>
    <row r="2167" ht="14.25"/>
    <row r="2168" ht="14.25"/>
    <row r="2169" ht="14.25"/>
    <row r="2170" ht="14.25"/>
    <row r="2171" ht="14.25"/>
    <row r="2172" ht="14.25"/>
    <row r="2173" ht="14.25"/>
    <row r="2174" ht="14.25"/>
    <row r="2175" ht="14.25"/>
    <row r="2176" ht="14.25"/>
    <row r="2177" ht="14.25"/>
    <row r="2178" ht="14.25"/>
    <row r="2179" ht="14.25"/>
    <row r="2180" ht="14.25"/>
    <row r="2181" ht="14.25"/>
    <row r="2182" ht="14.25"/>
    <row r="2183" ht="14.25"/>
    <row r="2184" ht="14.25"/>
    <row r="2185" ht="14.25"/>
    <row r="2186" ht="14.25"/>
    <row r="2187" ht="14.25"/>
    <row r="2188" ht="14.25"/>
    <row r="2189" ht="14.25"/>
    <row r="2190" ht="14.25"/>
    <row r="2191" ht="14.25"/>
    <row r="2192" ht="14.25"/>
    <row r="2193" ht="14.25"/>
    <row r="2194" ht="14.25"/>
    <row r="2195" ht="14.25"/>
    <row r="2196" ht="14.25"/>
    <row r="2197" ht="14.25"/>
    <row r="2198" ht="14.25"/>
    <row r="2199" ht="14.25"/>
    <row r="2200" ht="14.25"/>
    <row r="2201" ht="14.25"/>
    <row r="2202" ht="14.25"/>
    <row r="2203" ht="14.25"/>
    <row r="2204" ht="14.25"/>
    <row r="2205" ht="14.25"/>
    <row r="2206" ht="14.25"/>
    <row r="2207" ht="14.25"/>
    <row r="2208" ht="14.25"/>
    <row r="2209" ht="14.25"/>
    <row r="2210" ht="14.25"/>
    <row r="2211" ht="14.25"/>
    <row r="2212" ht="14.25"/>
    <row r="2213" ht="14.25"/>
    <row r="2214" ht="14.25"/>
    <row r="2215" ht="14.25"/>
    <row r="2216" ht="14.25"/>
    <row r="2217" ht="14.25"/>
    <row r="2218" ht="14.25"/>
    <row r="2219" ht="14.25"/>
    <row r="2220" ht="14.25"/>
    <row r="2221" ht="14.25"/>
    <row r="2222" ht="14.25"/>
    <row r="2223" ht="14.25"/>
    <row r="2224" ht="14.25"/>
    <row r="2225" ht="14.25"/>
    <row r="2226" ht="14.25"/>
    <row r="2227" ht="14.25"/>
    <row r="2228" ht="14.25"/>
    <row r="2229" ht="14.25"/>
    <row r="2230" ht="14.25"/>
    <row r="2231" ht="14.25"/>
    <row r="2232" ht="14.25"/>
    <row r="2233" ht="14.25"/>
    <row r="2234" ht="14.25"/>
    <row r="2235" ht="14.25"/>
    <row r="2236" ht="14.25"/>
    <row r="2237" ht="14.25"/>
    <row r="2238" ht="14.25"/>
    <row r="2239" ht="14.25"/>
    <row r="2240" ht="14.25"/>
    <row r="2241" ht="14.25"/>
    <row r="2242" ht="14.25"/>
    <row r="2243" ht="14.25"/>
    <row r="2244" ht="14.25"/>
    <row r="2245" ht="14.25"/>
    <row r="2246" ht="14.25"/>
    <row r="2247" ht="14.25"/>
    <row r="2248" ht="14.25"/>
    <row r="2249" ht="14.25"/>
    <row r="2250" ht="14.25"/>
    <row r="2251" ht="14.25"/>
    <row r="2252" ht="14.25"/>
    <row r="2253" ht="14.25"/>
    <row r="2254" ht="14.25"/>
    <row r="2255" ht="14.25"/>
    <row r="2256" ht="14.25"/>
    <row r="2257" ht="14.25"/>
    <row r="2258" ht="14.25"/>
    <row r="2259" ht="14.25"/>
    <row r="2260" ht="14.25"/>
    <row r="2261" ht="14.25"/>
    <row r="2262" ht="14.25"/>
    <row r="2263" ht="14.25"/>
    <row r="2264" ht="14.25"/>
    <row r="2265" ht="14.25"/>
    <row r="2266" ht="14.25"/>
    <row r="2267" ht="14.25"/>
    <row r="2268" ht="14.25"/>
    <row r="2269" ht="14.25"/>
    <row r="2270" ht="14.25"/>
    <row r="2271" ht="14.25"/>
    <row r="2272" ht="14.25"/>
    <row r="2273" ht="14.25"/>
    <row r="2274" ht="14.25"/>
    <row r="2275" ht="14.25"/>
    <row r="2276" ht="14.25"/>
    <row r="2277" ht="14.25"/>
    <row r="2278" ht="14.25"/>
    <row r="2279" ht="14.25"/>
    <row r="2280" ht="14.25"/>
    <row r="2281" ht="14.25"/>
    <row r="2282" ht="14.25"/>
    <row r="2283" ht="14.25"/>
    <row r="2284" ht="14.25"/>
    <row r="2285" ht="14.25"/>
    <row r="2286" ht="14.25"/>
    <row r="2287" ht="14.25"/>
    <row r="2288" ht="14.25"/>
    <row r="2289" ht="14.25"/>
    <row r="2290" ht="14.25"/>
    <row r="2291" ht="14.25"/>
    <row r="2292" ht="14.25"/>
    <row r="2293" ht="14.25"/>
    <row r="2294" ht="14.25"/>
    <row r="2295" ht="14.25"/>
    <row r="2296" ht="14.25"/>
    <row r="2297" ht="14.25"/>
    <row r="2298" ht="14.25"/>
    <row r="2299" ht="14.25"/>
    <row r="2300" ht="14.25"/>
    <row r="2301" ht="14.25"/>
    <row r="2302" ht="14.25"/>
    <row r="2303" ht="14.25"/>
    <row r="2304" ht="14.25"/>
    <row r="2305" ht="14.25"/>
    <row r="2306" ht="14.25"/>
    <row r="2307" ht="14.25"/>
    <row r="2308" ht="14.25"/>
    <row r="2309" ht="14.25"/>
    <row r="2310" ht="14.25"/>
    <row r="2311" ht="14.25"/>
    <row r="2312" ht="14.25"/>
    <row r="2313" ht="14.25"/>
    <row r="2314" ht="14.25"/>
    <row r="2315" ht="14.25"/>
    <row r="2316" ht="14.25"/>
    <row r="2317" ht="14.25"/>
    <row r="2318" ht="14.25"/>
    <row r="2319" ht="14.25"/>
    <row r="2320" ht="14.25"/>
    <row r="2321" ht="14.25"/>
    <row r="2322" ht="14.25"/>
    <row r="2323" ht="14.25"/>
    <row r="2324" ht="14.25"/>
    <row r="2325" ht="14.25"/>
    <row r="2326" ht="14.25"/>
    <row r="2327" ht="14.25"/>
    <row r="2328" ht="14.25"/>
    <row r="2329" ht="14.25"/>
    <row r="2330" ht="14.25"/>
    <row r="2331" ht="14.25"/>
    <row r="2332" ht="14.25"/>
    <row r="2333" ht="14.25"/>
    <row r="2334" ht="14.25"/>
    <row r="2335" ht="14.25"/>
    <row r="2336" ht="14.25"/>
    <row r="2337" ht="14.25"/>
    <row r="2338" ht="14.25"/>
    <row r="2339" ht="14.25"/>
    <row r="2340" ht="14.25"/>
    <row r="2341" ht="14.25"/>
    <row r="2342" ht="14.25"/>
    <row r="2343" ht="14.25"/>
    <row r="2344" ht="14.25"/>
    <row r="2345" ht="14.25"/>
    <row r="2346" ht="14.25"/>
    <row r="2347" ht="14.25"/>
    <row r="2348" ht="14.25"/>
    <row r="2349" ht="14.25"/>
    <row r="2350" ht="14.25"/>
    <row r="2351" ht="14.25"/>
    <row r="2352" ht="14.25"/>
    <row r="2353" ht="14.25"/>
    <row r="2354" ht="14.25"/>
    <row r="2355" ht="14.25"/>
    <row r="2356" ht="14.25"/>
    <row r="2357" ht="14.25"/>
    <row r="2358" ht="14.25"/>
    <row r="2359" ht="14.25"/>
    <row r="2360" ht="14.25"/>
    <row r="2361" ht="14.25"/>
    <row r="2362" ht="14.25"/>
    <row r="2363" ht="14.25"/>
    <row r="2364" ht="14.25"/>
    <row r="2365" ht="14.25"/>
    <row r="2366" ht="14.25"/>
    <row r="2367" ht="14.25"/>
    <row r="2368" ht="14.25"/>
    <row r="2369" ht="14.25"/>
    <row r="2370" ht="14.25"/>
    <row r="2371" ht="14.25"/>
    <row r="2372" ht="14.25"/>
    <row r="2373" ht="14.25"/>
    <row r="2374" ht="14.25"/>
    <row r="2375" ht="14.25"/>
    <row r="2376" ht="14.25"/>
    <row r="2377" ht="14.25"/>
    <row r="2378" ht="14.25"/>
    <row r="2379" ht="14.25"/>
    <row r="2380" ht="14.25"/>
    <row r="2381" ht="14.25"/>
    <row r="2382" ht="14.25"/>
    <row r="2383" ht="14.25"/>
    <row r="2384" ht="14.25"/>
    <row r="2385" ht="14.25"/>
    <row r="2386" ht="14.25"/>
    <row r="2387" ht="14.25"/>
    <row r="2388" ht="14.25"/>
    <row r="2389" ht="14.25"/>
    <row r="2390" ht="14.25"/>
    <row r="2391" ht="14.25"/>
    <row r="2392" ht="14.25"/>
    <row r="2393" ht="14.25"/>
    <row r="2394" ht="14.25"/>
    <row r="2395" ht="14.25"/>
    <row r="2396" ht="14.25"/>
    <row r="2397" ht="14.25"/>
    <row r="2398" ht="14.25"/>
    <row r="2399" ht="14.25"/>
    <row r="2400" ht="14.25"/>
    <row r="2401" ht="14.25"/>
    <row r="2402" ht="14.25"/>
    <row r="2403" ht="14.25"/>
    <row r="2404" ht="14.25"/>
    <row r="2405" ht="14.25"/>
    <row r="2406" ht="14.25"/>
    <row r="2407" ht="14.25"/>
    <row r="2408" ht="14.25"/>
    <row r="2409" ht="14.25"/>
    <row r="2410" ht="14.25"/>
    <row r="2411" ht="14.25"/>
    <row r="2412" ht="14.25"/>
    <row r="2413" ht="14.25"/>
    <row r="2414" ht="14.25"/>
    <row r="2415" ht="14.25"/>
    <row r="2416" ht="14.25"/>
    <row r="2417" ht="14.25"/>
    <row r="2418" ht="14.25"/>
    <row r="2419" ht="14.25"/>
    <row r="2420" ht="14.25"/>
    <row r="2421" ht="14.25"/>
    <row r="2422" ht="14.25"/>
    <row r="2423" ht="14.25"/>
    <row r="2424" ht="14.25"/>
    <row r="2425" ht="14.25"/>
    <row r="2426" ht="14.25"/>
    <row r="2427" ht="14.25"/>
    <row r="2428" ht="14.25"/>
    <row r="2429" ht="14.25"/>
    <row r="2430" ht="14.25"/>
    <row r="2431" ht="14.25"/>
    <row r="2432" ht="14.25"/>
    <row r="2433" ht="14.25"/>
    <row r="2434" ht="14.25"/>
    <row r="2435" ht="14.25"/>
    <row r="2436" ht="14.25"/>
    <row r="2437" ht="14.25"/>
    <row r="2438" ht="14.25"/>
    <row r="2439" ht="14.25"/>
    <row r="2440" ht="14.25"/>
    <row r="2441" ht="14.25"/>
    <row r="2442" ht="14.25"/>
    <row r="2443" ht="14.25"/>
    <row r="2444" ht="14.25"/>
    <row r="2445" ht="14.25"/>
    <row r="2446" ht="14.25"/>
    <row r="2447" ht="14.25"/>
    <row r="2448" ht="14.25"/>
    <row r="2449" ht="14.25"/>
    <row r="2450" ht="14.25"/>
    <row r="2451" ht="14.25"/>
    <row r="2452" ht="14.25"/>
    <row r="2453" ht="14.25"/>
    <row r="2454" ht="14.25"/>
    <row r="2455" ht="14.25"/>
    <row r="2456" ht="14.25"/>
    <row r="2457" ht="14.25"/>
    <row r="2458" ht="14.25"/>
    <row r="2459" ht="14.25"/>
    <row r="2460" ht="14.25"/>
    <row r="2461" ht="14.25"/>
    <row r="2462" ht="14.25"/>
    <row r="2463" ht="14.25"/>
    <row r="2464" ht="14.25"/>
    <row r="2465" ht="14.25"/>
    <row r="2466" ht="14.25"/>
    <row r="2467" ht="14.25"/>
    <row r="2468" ht="14.25"/>
    <row r="2469" ht="14.25"/>
    <row r="2470" ht="14.25"/>
    <row r="2471" ht="14.25"/>
    <row r="2472" ht="14.25"/>
    <row r="2473" ht="14.25"/>
    <row r="2474" ht="14.25"/>
    <row r="2475" ht="14.25"/>
    <row r="2476" ht="14.25"/>
    <row r="2477" ht="14.25"/>
    <row r="2478" ht="14.25"/>
    <row r="2479" ht="14.25"/>
    <row r="2480" ht="14.25"/>
    <row r="2481" ht="14.25"/>
    <row r="2482" ht="14.25"/>
    <row r="2483" ht="14.25"/>
    <row r="2484" ht="14.25"/>
    <row r="2485" ht="14.25"/>
    <row r="2486" ht="14.25"/>
    <row r="2487" ht="14.25"/>
    <row r="2488" ht="14.25"/>
    <row r="2489" ht="14.25"/>
    <row r="2490" ht="14.25"/>
    <row r="2491" ht="14.25"/>
    <row r="2492" ht="14.25"/>
    <row r="2493" ht="14.25"/>
    <row r="2494" ht="14.25"/>
    <row r="2495" ht="14.25"/>
    <row r="2496" ht="14.25"/>
    <row r="2497" ht="14.25"/>
    <row r="2498" ht="14.25"/>
    <row r="2499" ht="14.25"/>
    <row r="2500" ht="14.25"/>
    <row r="2501" ht="14.25"/>
    <row r="2502" ht="14.25"/>
    <row r="2503" ht="14.25"/>
    <row r="2504" ht="14.25"/>
    <row r="2505" ht="14.25"/>
    <row r="2506" ht="14.25"/>
    <row r="2507" ht="14.25"/>
    <row r="2508" ht="14.25"/>
    <row r="2509" ht="14.25"/>
    <row r="2510" ht="14.25"/>
    <row r="2511" ht="14.25"/>
    <row r="2512" ht="14.25"/>
    <row r="2513" ht="14.25"/>
    <row r="2514" ht="14.25"/>
    <row r="2515" ht="14.25"/>
    <row r="2516" ht="14.25"/>
    <row r="2517" ht="14.25"/>
    <row r="2518" ht="14.25"/>
    <row r="2519" ht="14.25"/>
    <row r="2520" ht="14.25"/>
    <row r="2521" ht="14.25"/>
    <row r="2522" ht="14.25"/>
    <row r="2523" ht="14.25"/>
    <row r="2524" ht="14.25"/>
    <row r="2525" ht="14.25"/>
    <row r="2526" ht="14.25"/>
    <row r="2527" ht="14.25"/>
    <row r="2528" ht="14.25"/>
    <row r="2529" ht="14.25"/>
    <row r="2530" ht="14.25"/>
    <row r="2531" ht="14.25"/>
    <row r="2532" ht="14.25"/>
    <row r="2533" ht="14.25"/>
    <row r="2534" ht="14.25"/>
    <row r="2535" ht="14.25"/>
    <row r="2536" ht="14.25"/>
    <row r="2537" ht="14.25"/>
    <row r="2538" ht="14.25"/>
    <row r="2539" ht="14.25"/>
    <row r="2540" ht="14.25"/>
    <row r="2541" ht="14.25"/>
    <row r="2542" ht="14.25"/>
    <row r="2543" ht="14.25"/>
    <row r="2544" ht="14.25"/>
    <row r="2545" ht="14.25"/>
    <row r="2546" ht="14.25"/>
    <row r="2547" ht="14.25"/>
    <row r="2548" ht="14.25"/>
    <row r="2549" ht="14.25"/>
    <row r="2550" ht="14.25"/>
    <row r="2551" ht="14.25"/>
    <row r="2552" ht="14.25"/>
    <row r="2553" ht="14.25"/>
    <row r="2554" ht="14.25"/>
    <row r="2555" ht="14.25"/>
    <row r="2556" ht="14.25"/>
    <row r="2557" ht="14.25"/>
    <row r="2558" ht="14.25"/>
    <row r="2559" ht="14.25"/>
    <row r="2560" ht="14.25"/>
    <row r="2561" ht="14.25"/>
    <row r="2562" ht="14.25"/>
    <row r="2563" ht="14.25"/>
    <row r="2564" ht="14.25"/>
    <row r="2565" ht="14.25"/>
    <row r="2566" ht="14.25"/>
    <row r="2567" ht="14.25"/>
    <row r="2568" ht="14.25"/>
    <row r="2569" ht="14.25"/>
    <row r="2570" ht="14.25"/>
    <row r="2571" ht="14.25"/>
    <row r="2572" ht="14.25"/>
    <row r="2573" ht="14.25"/>
    <row r="2574" ht="14.25"/>
    <row r="2575" ht="14.25"/>
    <row r="2576" ht="14.25"/>
    <row r="2577" ht="14.25"/>
    <row r="2578" ht="14.25"/>
    <row r="2579" ht="14.25"/>
    <row r="2580" ht="14.25"/>
    <row r="2581" ht="14.25"/>
    <row r="2582" ht="14.25"/>
    <row r="2583" ht="14.25"/>
    <row r="2584" ht="14.25"/>
    <row r="2585" ht="14.25"/>
    <row r="2586" ht="14.25"/>
    <row r="2587" ht="14.25"/>
    <row r="2588" ht="14.25"/>
    <row r="2589" ht="14.25"/>
    <row r="2590" ht="14.25"/>
    <row r="2591" ht="14.25"/>
    <row r="2592" ht="14.25"/>
    <row r="2593" ht="14.25"/>
    <row r="2594" ht="14.25"/>
    <row r="2595" ht="14.25"/>
    <row r="2596" ht="14.25"/>
    <row r="2597" ht="14.25"/>
    <row r="2598" ht="14.25"/>
    <row r="2599" ht="14.25"/>
    <row r="2600" ht="14.25"/>
    <row r="2601" ht="14.25"/>
    <row r="2602" ht="14.25"/>
    <row r="2603" ht="14.25"/>
    <row r="2604" ht="14.25"/>
    <row r="2605" ht="14.25"/>
    <row r="2606" ht="14.25"/>
    <row r="2607" ht="14.25"/>
    <row r="2608" ht="14.25"/>
    <row r="2609" ht="14.25"/>
    <row r="2610" ht="14.25"/>
    <row r="2611" ht="14.25"/>
    <row r="2612" ht="14.25"/>
    <row r="2613" ht="14.25"/>
    <row r="2614" ht="14.25"/>
    <row r="2615" ht="14.25"/>
    <row r="2616" ht="14.25"/>
    <row r="2617" ht="14.25"/>
    <row r="2618" ht="14.25"/>
    <row r="2619" ht="14.25"/>
    <row r="2620" ht="14.25"/>
    <row r="2621" ht="14.25"/>
    <row r="2622" ht="14.25"/>
    <row r="2623" ht="14.25"/>
    <row r="2624" ht="14.25"/>
    <row r="2625" ht="14.25"/>
    <row r="2626" ht="14.25"/>
    <row r="2627" ht="14.25"/>
    <row r="2628" ht="14.25"/>
    <row r="2629" ht="14.25"/>
    <row r="2630" ht="14.25"/>
    <row r="2631" ht="14.25"/>
    <row r="2632" ht="14.25"/>
    <row r="2633" ht="14.25"/>
    <row r="2634" ht="14.25"/>
    <row r="2635" ht="14.25"/>
    <row r="2636" ht="14.25"/>
    <row r="2637" ht="14.25"/>
    <row r="2638" ht="14.25"/>
    <row r="2639" ht="14.25"/>
    <row r="2640" ht="14.25"/>
    <row r="2641" ht="14.25"/>
    <row r="2642" ht="14.25"/>
    <row r="2643" ht="14.25"/>
    <row r="2644" ht="14.25"/>
    <row r="2645" ht="14.25"/>
    <row r="2646" ht="14.25"/>
    <row r="2647" ht="14.25"/>
    <row r="2648" ht="14.25"/>
    <row r="2649" ht="14.25"/>
    <row r="2650" ht="14.25"/>
    <row r="2651" ht="14.25"/>
    <row r="2652" ht="14.25"/>
    <row r="2653" ht="14.25"/>
    <row r="2654" ht="14.25"/>
    <row r="2655" ht="14.25"/>
    <row r="2656" ht="14.25"/>
    <row r="2657" ht="14.25"/>
    <row r="2658" ht="14.25"/>
    <row r="2659" ht="14.25"/>
    <row r="2660" ht="14.25"/>
    <row r="2661" ht="14.25"/>
    <row r="2662" ht="14.25"/>
    <row r="2663" ht="14.25"/>
    <row r="2664" ht="14.25"/>
    <row r="2665" ht="14.25"/>
    <row r="2666" ht="14.25"/>
    <row r="2667" ht="14.25"/>
    <row r="2668" ht="14.25"/>
    <row r="2669" ht="14.25"/>
    <row r="2670" ht="14.25"/>
    <row r="2671" ht="14.25"/>
    <row r="2672" ht="14.25"/>
    <row r="2673" ht="14.25"/>
    <row r="2674" ht="14.25"/>
    <row r="2675" ht="14.25"/>
    <row r="2676" ht="14.25"/>
    <row r="2677" ht="14.25"/>
    <row r="2678" ht="14.25"/>
    <row r="2679" ht="14.25"/>
    <row r="2680" ht="14.25"/>
    <row r="2681" ht="14.25"/>
    <row r="2682" ht="14.25"/>
    <row r="2683" ht="14.25"/>
    <row r="2684" ht="14.25"/>
    <row r="2685" ht="14.25"/>
    <row r="2686" ht="14.25"/>
    <row r="2687" ht="14.25"/>
    <row r="2688" ht="14.25"/>
    <row r="2689" ht="14.25"/>
    <row r="2690" ht="14.25"/>
    <row r="2691" ht="14.25"/>
    <row r="2692" ht="14.25"/>
    <row r="2693" ht="14.25"/>
    <row r="2694" ht="14.25"/>
    <row r="2695" ht="14.25"/>
    <row r="2696" ht="14.25"/>
    <row r="2697" ht="14.25"/>
    <row r="2698" ht="14.25"/>
    <row r="2699" ht="14.25"/>
    <row r="2700" ht="14.25"/>
    <row r="2701" ht="14.25"/>
    <row r="2702" ht="14.25"/>
    <row r="2703" ht="14.25"/>
    <row r="2704" ht="14.25"/>
    <row r="2705" ht="14.25"/>
    <row r="2706" ht="14.25"/>
    <row r="2707" ht="14.25"/>
    <row r="2708" ht="14.25"/>
    <row r="2709" ht="14.25"/>
    <row r="2710" ht="14.25"/>
    <row r="2711" ht="14.25"/>
    <row r="2712" ht="14.25"/>
    <row r="2713" ht="14.25"/>
    <row r="2714" ht="14.25"/>
    <row r="2715" ht="14.25"/>
    <row r="2716" ht="14.25"/>
    <row r="2717" ht="14.25"/>
    <row r="2718" ht="14.25"/>
    <row r="2719" ht="14.25"/>
    <row r="2720" ht="14.25"/>
    <row r="2721" ht="14.25"/>
    <row r="2722" ht="14.25"/>
    <row r="2723" ht="14.25"/>
    <row r="2724" ht="14.25"/>
    <row r="2725" ht="14.25"/>
    <row r="2726" ht="14.25"/>
    <row r="2727" ht="14.25"/>
    <row r="2728" ht="14.25"/>
    <row r="2729" ht="14.25"/>
    <row r="2730" ht="14.25"/>
    <row r="2731" ht="14.25"/>
    <row r="2732" ht="14.25"/>
    <row r="2733" ht="14.25"/>
    <row r="2734" ht="14.25"/>
    <row r="2735" ht="14.25"/>
    <row r="2736" ht="14.25"/>
    <row r="2737" ht="14.25"/>
    <row r="2738" ht="14.25"/>
    <row r="2739" ht="14.25"/>
    <row r="2740" ht="14.25"/>
    <row r="2741" ht="14.25"/>
    <row r="2742" ht="14.25"/>
    <row r="2743" ht="14.25"/>
    <row r="2744" ht="14.25"/>
    <row r="2745" ht="14.25"/>
    <row r="2746" ht="14.25"/>
    <row r="2747" ht="14.25"/>
    <row r="2748" ht="14.25"/>
    <row r="2749" ht="14.25"/>
    <row r="2750" ht="14.25"/>
    <row r="2751" ht="14.25"/>
    <row r="2752" ht="14.25"/>
    <row r="2753" ht="14.25"/>
    <row r="2754" ht="14.25"/>
    <row r="2755" ht="14.25"/>
    <row r="2756" ht="14.25"/>
    <row r="2757" ht="14.25"/>
    <row r="2758" ht="14.25"/>
    <row r="2759" ht="14.25"/>
    <row r="2760" ht="14.25"/>
    <row r="2761" ht="14.25"/>
    <row r="2762" ht="14.25"/>
    <row r="2763" ht="14.25"/>
    <row r="2764" ht="14.25"/>
    <row r="2765" ht="14.25"/>
    <row r="2766" ht="14.25"/>
    <row r="2767" ht="14.25"/>
    <row r="2768" ht="14.25"/>
    <row r="2769" ht="14.25"/>
    <row r="2770" ht="14.25"/>
    <row r="2771" ht="14.25"/>
    <row r="2772" ht="14.25"/>
    <row r="2773" ht="14.25"/>
    <row r="2774" ht="14.25"/>
    <row r="2775" ht="14.25"/>
    <row r="2776" ht="14.25"/>
    <row r="2777" ht="14.25"/>
    <row r="2778" ht="14.25"/>
    <row r="2779" ht="14.25"/>
    <row r="2780" ht="14.25"/>
    <row r="2781" ht="14.25"/>
    <row r="2782" ht="14.25"/>
    <row r="2783" ht="14.25"/>
    <row r="2784" ht="14.25"/>
    <row r="2785" ht="14.25"/>
    <row r="2786" ht="14.25"/>
    <row r="2787" ht="14.25"/>
    <row r="2788" ht="14.25"/>
    <row r="2789" ht="14.25"/>
    <row r="2790" ht="14.25"/>
    <row r="2791" ht="14.25"/>
    <row r="2792" ht="14.25"/>
    <row r="2793" ht="14.25"/>
    <row r="2794" ht="14.25"/>
    <row r="2795" ht="14.25"/>
    <row r="2796" ht="14.25"/>
    <row r="2797" ht="14.25"/>
    <row r="2798" ht="14.25"/>
    <row r="2799" ht="14.25"/>
    <row r="2800" ht="14.25"/>
    <row r="2801" ht="14.25"/>
    <row r="2802" ht="14.25"/>
    <row r="2803" ht="14.25"/>
    <row r="2804" ht="14.25"/>
    <row r="2805" ht="14.25"/>
    <row r="2806" ht="14.25"/>
    <row r="2807" ht="14.25"/>
    <row r="2808" ht="14.25"/>
    <row r="2809" ht="14.25"/>
    <row r="2810" ht="14.25"/>
    <row r="2811" ht="14.25"/>
    <row r="2812" ht="14.25"/>
    <row r="2813" ht="14.25"/>
    <row r="2814" ht="14.25"/>
    <row r="2815" ht="14.25"/>
    <row r="2816" ht="14.25"/>
    <row r="2817" ht="14.25"/>
    <row r="2818" ht="14.25"/>
    <row r="2819" ht="14.25"/>
    <row r="2820" ht="14.25"/>
    <row r="2821" ht="14.25"/>
    <row r="2822" ht="14.25"/>
    <row r="2823" ht="14.25"/>
    <row r="2824" ht="14.25"/>
    <row r="2825" ht="14.25"/>
    <row r="2826" ht="14.25"/>
    <row r="2827" ht="14.25"/>
    <row r="2828" ht="14.25"/>
    <row r="2829" ht="14.25"/>
    <row r="2830" ht="14.25"/>
    <row r="2831" ht="14.25"/>
    <row r="2832" ht="14.25"/>
    <row r="2833" ht="14.25"/>
    <row r="2834" ht="14.25"/>
    <row r="2835" ht="14.25"/>
    <row r="2836" ht="14.25"/>
    <row r="2837" ht="14.25"/>
    <row r="2838" ht="14.25"/>
    <row r="2839" ht="14.25"/>
    <row r="2840" ht="14.25"/>
    <row r="2841" ht="14.25"/>
    <row r="2842" ht="14.25"/>
    <row r="2843" ht="14.25"/>
    <row r="2844" ht="14.25"/>
    <row r="2845" ht="14.25"/>
    <row r="2846" ht="14.25"/>
    <row r="2847" ht="14.25"/>
    <row r="2848" ht="14.25"/>
    <row r="2849" ht="14.25"/>
    <row r="2850" ht="14.25"/>
    <row r="2851" ht="14.25"/>
    <row r="2852" ht="14.25"/>
    <row r="2853" ht="14.25"/>
    <row r="2854" ht="14.25"/>
    <row r="2855" ht="14.25"/>
    <row r="2856" ht="14.25"/>
    <row r="2857" ht="14.25"/>
    <row r="2858" ht="14.25"/>
    <row r="2859" ht="14.25"/>
    <row r="2860" ht="14.25"/>
    <row r="2861" ht="14.25"/>
    <row r="2862" ht="14.25"/>
    <row r="2863" ht="14.25"/>
    <row r="2864" ht="14.25"/>
    <row r="2865" ht="14.25"/>
    <row r="2866" ht="14.25"/>
    <row r="2867" ht="14.25"/>
    <row r="2868" ht="14.25"/>
    <row r="2869" ht="14.25"/>
    <row r="2870" ht="14.25"/>
    <row r="2871" ht="14.25"/>
    <row r="2872" ht="14.25"/>
    <row r="2873" ht="14.25"/>
    <row r="2874" ht="14.25"/>
    <row r="2875" ht="14.25"/>
    <row r="2876" ht="14.25"/>
    <row r="2877" ht="14.25"/>
    <row r="2878" ht="14.25"/>
    <row r="2879" ht="14.25"/>
    <row r="2880" ht="14.25"/>
    <row r="2881" ht="14.25"/>
    <row r="2882" ht="14.25"/>
    <row r="2883" ht="14.25"/>
    <row r="2884" ht="14.25"/>
    <row r="2885" ht="14.25"/>
    <row r="2886" ht="14.25"/>
    <row r="2887" ht="14.25"/>
    <row r="2888" ht="14.25"/>
    <row r="2889" ht="14.25"/>
    <row r="2890" ht="14.25"/>
    <row r="2891" ht="14.25"/>
    <row r="2892" ht="14.25"/>
    <row r="2893" ht="14.25"/>
    <row r="2894" ht="14.25"/>
    <row r="2895" ht="14.25"/>
    <row r="2896" ht="14.25"/>
    <row r="2897" ht="14.25"/>
    <row r="2898" ht="14.25"/>
    <row r="2899" ht="14.25"/>
    <row r="2900" ht="14.25"/>
    <row r="2901" ht="14.25"/>
    <row r="2902" ht="14.25"/>
    <row r="2903" ht="14.25"/>
    <row r="2904" ht="14.25"/>
    <row r="2905" ht="14.25"/>
    <row r="2906" ht="14.25"/>
    <row r="2907" ht="14.25"/>
    <row r="2908" ht="14.25"/>
    <row r="2909" ht="14.25"/>
    <row r="2910" ht="14.25"/>
    <row r="2911" ht="14.25"/>
    <row r="2912" ht="14.25"/>
    <row r="2913" ht="14.25"/>
    <row r="2914" ht="14.25"/>
    <row r="2915" ht="14.25"/>
    <row r="2916" ht="14.25"/>
    <row r="2917" ht="14.25"/>
    <row r="2918" ht="14.25"/>
    <row r="2919" ht="14.25"/>
    <row r="2920" ht="14.25"/>
    <row r="2921" ht="14.25"/>
    <row r="2922" ht="14.25"/>
    <row r="2923" ht="14.25"/>
    <row r="2924" ht="14.25"/>
    <row r="2925" ht="14.25"/>
    <row r="2926" ht="14.25"/>
    <row r="2927" ht="14.25"/>
    <row r="2928" ht="14.25"/>
    <row r="2929" ht="14.25"/>
    <row r="2930" ht="14.25"/>
    <row r="2931" ht="14.25"/>
    <row r="2932" ht="14.25"/>
    <row r="2933" ht="14.25"/>
    <row r="2934" ht="14.25"/>
    <row r="2935" ht="14.25"/>
    <row r="2936" ht="14.25"/>
    <row r="2937" ht="14.25"/>
    <row r="2938" ht="14.25"/>
    <row r="2939" ht="14.25"/>
    <row r="2940" ht="14.25"/>
    <row r="2941" ht="14.25"/>
    <row r="2942" ht="14.25"/>
    <row r="2943" ht="14.25"/>
    <row r="2944" ht="14.25"/>
    <row r="2945" ht="14.25"/>
    <row r="2946" ht="14.25"/>
    <row r="2947" ht="14.25"/>
    <row r="2948" ht="14.25"/>
    <row r="2949" ht="14.25"/>
    <row r="2950" ht="14.25"/>
    <row r="2951" ht="14.25"/>
    <row r="2952" ht="14.25"/>
    <row r="2953" ht="14.25"/>
    <row r="2954" ht="14.25"/>
    <row r="2955" ht="14.25"/>
    <row r="2956" ht="14.25"/>
    <row r="2957" ht="14.25"/>
    <row r="2958" ht="14.25"/>
    <row r="2959" ht="14.25"/>
    <row r="2960" ht="14.25"/>
    <row r="2961" ht="14.25"/>
    <row r="2962" ht="14.25"/>
    <row r="2963" ht="14.25"/>
    <row r="2964" ht="14.25"/>
    <row r="2965" ht="14.25"/>
    <row r="2966" ht="14.25"/>
    <row r="2967" ht="14.25"/>
    <row r="2968" ht="14.25"/>
    <row r="2969" ht="14.25"/>
    <row r="2970" ht="14.25"/>
    <row r="2971" ht="14.25"/>
    <row r="2972" ht="14.25"/>
    <row r="2973" ht="14.25"/>
    <row r="2974" ht="14.25"/>
    <row r="2975" ht="14.25"/>
    <row r="2976" ht="14.25"/>
    <row r="2977" ht="14.25"/>
    <row r="2978" ht="14.25"/>
    <row r="2979" ht="14.25"/>
    <row r="2980" ht="14.25"/>
    <row r="2981" ht="14.25"/>
    <row r="2982" ht="14.25"/>
    <row r="2983" ht="14.25"/>
    <row r="2984" ht="14.25"/>
    <row r="2985" ht="14.25"/>
    <row r="2986" ht="14.25"/>
    <row r="2987" ht="14.25"/>
    <row r="2988" ht="14.25"/>
    <row r="2989" ht="14.25"/>
    <row r="2990" ht="14.25"/>
    <row r="2991" ht="14.25"/>
    <row r="2992" ht="14.25"/>
    <row r="2993" ht="14.25"/>
    <row r="2994" ht="14.25"/>
    <row r="2995" ht="14.25"/>
    <row r="2996" ht="14.25"/>
    <row r="2997" ht="14.25"/>
    <row r="2998" ht="14.25"/>
    <row r="2999" ht="14.25"/>
    <row r="3000" ht="14.25"/>
    <row r="3001" ht="14.25"/>
    <row r="3002" ht="14.25"/>
    <row r="3003" ht="14.25"/>
    <row r="3004" ht="14.25"/>
    <row r="3005" ht="14.25"/>
    <row r="3006" ht="14.25"/>
    <row r="3007" ht="14.25"/>
    <row r="3008" ht="14.25"/>
    <row r="3009" ht="14.25"/>
    <row r="3010" ht="14.25"/>
    <row r="3011" ht="14.25"/>
    <row r="3012" ht="14.25"/>
    <row r="3013" ht="14.25"/>
    <row r="3014" ht="14.25"/>
    <row r="3015" ht="14.25"/>
    <row r="3016" ht="14.25"/>
    <row r="3017" ht="14.25"/>
    <row r="3018" ht="14.25"/>
    <row r="3019" ht="14.25"/>
    <row r="3020" ht="14.25"/>
    <row r="3021" ht="14.25"/>
    <row r="3022" ht="14.25"/>
    <row r="3023" ht="14.25"/>
    <row r="3024" ht="14.25"/>
    <row r="3025" ht="14.25"/>
    <row r="3026" ht="14.25"/>
    <row r="3027" ht="14.25"/>
    <row r="3028" ht="14.25"/>
    <row r="3029" ht="14.25"/>
    <row r="3030" ht="14.25"/>
    <row r="3031" ht="14.25"/>
    <row r="3032" ht="14.25"/>
    <row r="3033" ht="14.25"/>
    <row r="3034" ht="14.25"/>
    <row r="3035" ht="14.25"/>
    <row r="3036" ht="14.25"/>
    <row r="3037" ht="14.25"/>
    <row r="3038" ht="14.25"/>
    <row r="3039" ht="14.25"/>
    <row r="3040" ht="14.25"/>
    <row r="3041" ht="14.25"/>
    <row r="3042" ht="14.25"/>
    <row r="3043" ht="14.25"/>
    <row r="3044" ht="14.25"/>
    <row r="3045" ht="14.25"/>
    <row r="3046" ht="14.25"/>
    <row r="3047" ht="14.25"/>
    <row r="3048" ht="14.25"/>
    <row r="3049" ht="14.25"/>
    <row r="3050" ht="14.25"/>
    <row r="3051" ht="14.25"/>
    <row r="3052" ht="14.25"/>
    <row r="3053" ht="14.25"/>
    <row r="3054" ht="14.25"/>
    <row r="3055" ht="14.25"/>
    <row r="3056" ht="14.25"/>
    <row r="3057" ht="14.25"/>
    <row r="3058" ht="14.25"/>
    <row r="3059" ht="14.25"/>
    <row r="3060" ht="14.25"/>
    <row r="3061" ht="14.25"/>
    <row r="3062" ht="14.25"/>
    <row r="3063" ht="14.25"/>
    <row r="3064" ht="14.25"/>
    <row r="3065" ht="14.25"/>
    <row r="3066" ht="14.25"/>
    <row r="3067" ht="14.25"/>
    <row r="3068" ht="14.25"/>
    <row r="3069" ht="14.25"/>
    <row r="3070" ht="14.25"/>
    <row r="3071" ht="14.25"/>
    <row r="3072" ht="14.25"/>
    <row r="3073" ht="14.25"/>
    <row r="3074" ht="14.25"/>
    <row r="3075" ht="14.25"/>
    <row r="3076" ht="14.25"/>
    <row r="3077" ht="14.25"/>
    <row r="3078" ht="14.25"/>
    <row r="3079" ht="14.25"/>
    <row r="3080" ht="14.25"/>
    <row r="3081" ht="14.25"/>
    <row r="3082" ht="14.25"/>
    <row r="3083" ht="14.25"/>
    <row r="3084" ht="14.25"/>
    <row r="3085" ht="14.25"/>
    <row r="3086" ht="14.25"/>
    <row r="3087" ht="14.25"/>
    <row r="3088" ht="14.25"/>
    <row r="3089" ht="14.25"/>
    <row r="3090" ht="14.25"/>
    <row r="3091" ht="14.25"/>
    <row r="3092" ht="14.25"/>
    <row r="3093" ht="14.25"/>
    <row r="3094" ht="14.25"/>
    <row r="3095" ht="14.25"/>
    <row r="3096" ht="14.25"/>
    <row r="3097" ht="14.25"/>
    <row r="3098" ht="14.25"/>
    <row r="3099" ht="14.25"/>
    <row r="3100" ht="14.25"/>
    <row r="3101" ht="14.25"/>
    <row r="3102" ht="14.25"/>
    <row r="3103" ht="14.25"/>
    <row r="3104" ht="14.25"/>
    <row r="3105" ht="14.25"/>
    <row r="3106" ht="14.25"/>
    <row r="3107" ht="14.25"/>
    <row r="3108" ht="14.25"/>
    <row r="3109" ht="14.25"/>
    <row r="3110" ht="14.25"/>
    <row r="3111" ht="14.25"/>
    <row r="3112" ht="14.25"/>
    <row r="3113" ht="14.25"/>
    <row r="3114" ht="14.25"/>
    <row r="3115" ht="14.25"/>
    <row r="3116" ht="14.25"/>
    <row r="3117" ht="14.25"/>
    <row r="3118" ht="14.25"/>
    <row r="3119" ht="14.25"/>
    <row r="3120" ht="14.25"/>
    <row r="3121" ht="14.25"/>
    <row r="3122" ht="14.25"/>
    <row r="3123" ht="14.25"/>
    <row r="3124" ht="14.25"/>
    <row r="3125" ht="14.25"/>
    <row r="3126" ht="14.25"/>
    <row r="3127" ht="14.25"/>
    <row r="3128" ht="14.25"/>
    <row r="3129" ht="14.25"/>
    <row r="3130" ht="14.25"/>
    <row r="3131" ht="14.25"/>
    <row r="3132" ht="14.25"/>
    <row r="3133" ht="14.25"/>
    <row r="3134" ht="14.25"/>
    <row r="3135" ht="14.25"/>
    <row r="3136" ht="14.25"/>
    <row r="3137" ht="14.25"/>
    <row r="3138" ht="14.25"/>
    <row r="3139" ht="14.25"/>
    <row r="3140" ht="14.25"/>
    <row r="3141" ht="14.25"/>
    <row r="3142" ht="14.25"/>
    <row r="3143" ht="14.25"/>
    <row r="3144" ht="14.25"/>
    <row r="3145" ht="14.25"/>
    <row r="3146" ht="14.25"/>
    <row r="3147" ht="14.25"/>
    <row r="3148" ht="14.25"/>
    <row r="3149" ht="14.25"/>
    <row r="3150" ht="14.25"/>
    <row r="3151" ht="14.25"/>
    <row r="3152" ht="14.25"/>
    <row r="3153" ht="14.25"/>
    <row r="3154" ht="14.25"/>
    <row r="3155" ht="14.25"/>
    <row r="3156" ht="14.25"/>
    <row r="3157" ht="14.25"/>
    <row r="3158" ht="14.25"/>
    <row r="3159" ht="14.25"/>
    <row r="3160" ht="14.25"/>
    <row r="3161" ht="14.25"/>
    <row r="3162" ht="14.25"/>
    <row r="3163" ht="14.25"/>
    <row r="3164" ht="14.25"/>
    <row r="3165" ht="14.25"/>
    <row r="3166" ht="14.25"/>
    <row r="3167" ht="14.25"/>
    <row r="3168" ht="14.25"/>
    <row r="3169" ht="14.25"/>
    <row r="3170" ht="14.25"/>
    <row r="3171" ht="14.25"/>
    <row r="3172" ht="14.25"/>
    <row r="3173" ht="14.25"/>
    <row r="3174" ht="14.25"/>
    <row r="3175" ht="14.25"/>
    <row r="3176" ht="14.25"/>
    <row r="3177" ht="14.25"/>
    <row r="3178" ht="14.25"/>
    <row r="3179" ht="14.25"/>
    <row r="3180" ht="14.25"/>
    <row r="3181" ht="14.25"/>
    <row r="3182" ht="14.25"/>
    <row r="3183" ht="14.25"/>
    <row r="3184" ht="14.25"/>
    <row r="3185" ht="14.25"/>
    <row r="3186" ht="14.25"/>
    <row r="3187" ht="14.25"/>
    <row r="3188" ht="14.25"/>
    <row r="3189" ht="14.25"/>
    <row r="3190" ht="14.25"/>
    <row r="3191" ht="14.25"/>
    <row r="3192" ht="14.25"/>
    <row r="3193" ht="14.25"/>
    <row r="3194" ht="14.25"/>
    <row r="3195" ht="14.25"/>
    <row r="3196" ht="14.25"/>
    <row r="3197" ht="14.25"/>
    <row r="3198" ht="14.25"/>
    <row r="3199" ht="14.25"/>
    <row r="3200" ht="14.25"/>
    <row r="3201" ht="14.25"/>
    <row r="3202" ht="14.25"/>
    <row r="3203" ht="14.25"/>
    <row r="3204" ht="14.25"/>
    <row r="3205" ht="14.25"/>
    <row r="3206" ht="14.25"/>
    <row r="3207" ht="14.25"/>
    <row r="3208" ht="14.25"/>
    <row r="3209" ht="14.25"/>
    <row r="3210" ht="14.25"/>
    <row r="3211" ht="14.25"/>
    <row r="3212" ht="14.25"/>
    <row r="3213" ht="14.25"/>
    <row r="3214" ht="14.25"/>
    <row r="3215" ht="14.25"/>
    <row r="3216" ht="14.25"/>
    <row r="3217" ht="14.25"/>
    <row r="3218" ht="14.25"/>
    <row r="3219" ht="14.25"/>
    <row r="3220" ht="14.25"/>
    <row r="3221" ht="14.25"/>
    <row r="3222" ht="14.25"/>
    <row r="3223" ht="14.25"/>
    <row r="3224" ht="14.25"/>
    <row r="3225" ht="14.25"/>
    <row r="3226" ht="14.25"/>
    <row r="3227" ht="14.25"/>
    <row r="3228" ht="14.25"/>
    <row r="3229" ht="14.25"/>
    <row r="3230" ht="14.25"/>
    <row r="3231" ht="14.25"/>
    <row r="3232" ht="14.25"/>
    <row r="3233" ht="14.25"/>
    <row r="3234" ht="14.25"/>
    <row r="3235" ht="14.25"/>
    <row r="3236" ht="14.25"/>
    <row r="3237" ht="14.25"/>
    <row r="3238" ht="14.25"/>
    <row r="3239" ht="14.25"/>
    <row r="3240" ht="14.25"/>
    <row r="3241" ht="14.25"/>
    <row r="3242" ht="14.25"/>
    <row r="3243" ht="14.25"/>
    <row r="3244" ht="14.25"/>
    <row r="3245" ht="14.25"/>
    <row r="3246" ht="14.25"/>
    <row r="3247" ht="14.25"/>
    <row r="3248" ht="14.25"/>
    <row r="3249" ht="14.25"/>
    <row r="3250" ht="14.25"/>
    <row r="3251" ht="14.25"/>
    <row r="3252" ht="14.25"/>
    <row r="3253" ht="14.25"/>
    <row r="3254" ht="14.25"/>
    <row r="3255" ht="14.25"/>
    <row r="3256" ht="14.25"/>
    <row r="3257" ht="14.25"/>
    <row r="3258" ht="14.25"/>
    <row r="3259" ht="14.25"/>
    <row r="3260" ht="14.25"/>
    <row r="3261" ht="14.25"/>
    <row r="3262" ht="14.25"/>
    <row r="3263" ht="14.25"/>
    <row r="3264" ht="14.25"/>
    <row r="3265" ht="14.25"/>
    <row r="3266" ht="14.25"/>
    <row r="3267" ht="14.25"/>
    <row r="3268" ht="14.25"/>
    <row r="3269" ht="14.25"/>
    <row r="3270" ht="14.25"/>
    <row r="3271" ht="14.25"/>
    <row r="3272" ht="14.25"/>
    <row r="3273" ht="14.25"/>
    <row r="3274" ht="14.25"/>
    <row r="3275" ht="14.25"/>
    <row r="3276" ht="14.25"/>
    <row r="3277" ht="14.25"/>
    <row r="3278" ht="14.25"/>
    <row r="3279" ht="14.25"/>
    <row r="3280" ht="14.25"/>
    <row r="3281" ht="14.25"/>
    <row r="3282" ht="14.25"/>
    <row r="3283" ht="14.25"/>
    <row r="3284" ht="14.25"/>
    <row r="3285" ht="14.25"/>
    <row r="3286" ht="14.25"/>
    <row r="3287" ht="14.25"/>
    <row r="3288" ht="14.25"/>
    <row r="3289" ht="14.25"/>
    <row r="3290" ht="14.25"/>
    <row r="3291" ht="14.25"/>
    <row r="3292" ht="14.25"/>
    <row r="3293" ht="14.25"/>
    <row r="3294" ht="14.25"/>
    <row r="3295" ht="14.25"/>
    <row r="3296" ht="14.25"/>
    <row r="3297" ht="14.25"/>
    <row r="3298" ht="14.25"/>
    <row r="3299" ht="14.25"/>
    <row r="3300" ht="14.25"/>
    <row r="3301" ht="14.25"/>
    <row r="3302" ht="14.25"/>
    <row r="3303" ht="14.25"/>
    <row r="3304" ht="14.25"/>
    <row r="3305" ht="14.25"/>
    <row r="3306" ht="14.25"/>
    <row r="3307" ht="14.25"/>
    <row r="3308" ht="14.25"/>
    <row r="3309" ht="14.25"/>
    <row r="3310" ht="14.25"/>
    <row r="3311" ht="14.25"/>
    <row r="3312" ht="14.25"/>
    <row r="3313" ht="14.25"/>
    <row r="3314" ht="14.25"/>
    <row r="3315" ht="14.25"/>
    <row r="3316" ht="14.25"/>
    <row r="3317" ht="14.25"/>
    <row r="3318" ht="14.25"/>
    <row r="3319" ht="14.25"/>
    <row r="3320" ht="14.25"/>
    <row r="3321" ht="14.25"/>
    <row r="3322" ht="14.25"/>
    <row r="3323" ht="14.25"/>
    <row r="3324" ht="14.25"/>
    <row r="3325" ht="14.25"/>
    <row r="3326" ht="14.25"/>
    <row r="3327" ht="14.25"/>
    <row r="3328" ht="14.25"/>
    <row r="3329" ht="14.25"/>
    <row r="3330" ht="14.25"/>
    <row r="3331" ht="14.25"/>
    <row r="3332" ht="14.25"/>
    <row r="3333" ht="14.25"/>
    <row r="3334" ht="14.25"/>
    <row r="3335" ht="14.25"/>
    <row r="3336" ht="14.25"/>
    <row r="3337" ht="14.25"/>
    <row r="3338" ht="14.25"/>
    <row r="3339" ht="14.25"/>
    <row r="3340" ht="14.25"/>
    <row r="3341" ht="14.25"/>
    <row r="3342" ht="14.25"/>
    <row r="3343" ht="14.25"/>
    <row r="3344" ht="14.25"/>
    <row r="3345" ht="14.25"/>
    <row r="3346" ht="14.25"/>
    <row r="3347" ht="14.25"/>
    <row r="3348" ht="14.25"/>
    <row r="3349" ht="14.25"/>
    <row r="3350" ht="14.25"/>
    <row r="3351" ht="14.25"/>
    <row r="3352" ht="14.25"/>
    <row r="3353" ht="14.25"/>
    <row r="3354" ht="14.25"/>
    <row r="3355" ht="14.25"/>
    <row r="3356" ht="14.25"/>
    <row r="3357" ht="14.25"/>
    <row r="3358" ht="14.25"/>
    <row r="3359" ht="14.25"/>
    <row r="3360" ht="14.25"/>
    <row r="3361" ht="14.25"/>
    <row r="3362" ht="14.25"/>
    <row r="3363" ht="14.25"/>
    <row r="3364" ht="14.25"/>
    <row r="3365" ht="14.25"/>
    <row r="3366" ht="14.25"/>
    <row r="3367" ht="14.25"/>
    <row r="3368" ht="14.25"/>
    <row r="3369" ht="14.25"/>
    <row r="3370" ht="14.25"/>
    <row r="3371" ht="14.25"/>
    <row r="3372" ht="14.25"/>
    <row r="3373" ht="14.25"/>
    <row r="3374" ht="14.25"/>
    <row r="3375" ht="14.25"/>
    <row r="3376" ht="14.25"/>
    <row r="3377" ht="14.25"/>
    <row r="3378" ht="14.25"/>
    <row r="3379" ht="14.25"/>
    <row r="3380" ht="14.25"/>
    <row r="3381" ht="14.25"/>
    <row r="3382" ht="14.25"/>
    <row r="3383" ht="14.25"/>
    <row r="3384" ht="14.25"/>
    <row r="3385" ht="14.25"/>
    <row r="3386" ht="14.25"/>
    <row r="3387" ht="14.25"/>
    <row r="3388" ht="14.25"/>
    <row r="3389" ht="14.25"/>
    <row r="3390" ht="14.25"/>
    <row r="3391" ht="14.25"/>
    <row r="3392" ht="14.25"/>
    <row r="3393" ht="14.25"/>
    <row r="3394" ht="14.25"/>
    <row r="3395" ht="14.25"/>
    <row r="3396" ht="14.25"/>
    <row r="3397" ht="14.25"/>
    <row r="3398" ht="14.25"/>
    <row r="3399" ht="14.25"/>
    <row r="3400" ht="14.25"/>
    <row r="3401" ht="14.25"/>
    <row r="3402" ht="14.25"/>
    <row r="3403" ht="14.25"/>
    <row r="3404" ht="14.25"/>
    <row r="3405" ht="14.25"/>
    <row r="3406" ht="14.25"/>
    <row r="3407" ht="14.25"/>
    <row r="3408" ht="14.25"/>
    <row r="3409" ht="14.25"/>
    <row r="3410" ht="14.25"/>
    <row r="3411" ht="14.25"/>
    <row r="3412" ht="14.25"/>
    <row r="3413" ht="14.25"/>
    <row r="3414" ht="14.25"/>
    <row r="3415" ht="14.25"/>
    <row r="3416" ht="14.25"/>
    <row r="3417" ht="14.25"/>
    <row r="3418" ht="14.25"/>
    <row r="3419" ht="14.25"/>
    <row r="3420" ht="14.25"/>
    <row r="3421" ht="14.25"/>
    <row r="3422" ht="14.25"/>
    <row r="3423" ht="14.25"/>
    <row r="3424" ht="14.25"/>
    <row r="3425" ht="14.25"/>
    <row r="3426" ht="14.25"/>
    <row r="3427" ht="14.25"/>
    <row r="3428" ht="14.25"/>
    <row r="3429" ht="14.25"/>
    <row r="3430" ht="14.25"/>
    <row r="3431" ht="14.25"/>
    <row r="3432" ht="14.25"/>
    <row r="3433" ht="14.25"/>
    <row r="3434" ht="14.25"/>
    <row r="3435" ht="14.25"/>
    <row r="3436" ht="14.25"/>
    <row r="3437" ht="14.25"/>
    <row r="3438" ht="14.25"/>
    <row r="3439" ht="14.25"/>
    <row r="3440" ht="14.25"/>
    <row r="3441" ht="14.25"/>
    <row r="3442" ht="14.25"/>
    <row r="3443" ht="14.25"/>
    <row r="3444" ht="14.25"/>
    <row r="3445" ht="14.25"/>
    <row r="3446" ht="14.25"/>
    <row r="3447" ht="14.25"/>
    <row r="3448" ht="14.25"/>
    <row r="3449" ht="14.25"/>
    <row r="3450" ht="14.25"/>
    <row r="3451" ht="14.25"/>
    <row r="3452" ht="14.25"/>
    <row r="3453" ht="14.25"/>
    <row r="3454" ht="14.25"/>
    <row r="3455" ht="14.25"/>
    <row r="3456" ht="14.25"/>
    <row r="3457" ht="14.25"/>
    <row r="3458" ht="14.25"/>
    <row r="3459" ht="14.25"/>
    <row r="3460" ht="14.25"/>
    <row r="3461" ht="14.25"/>
    <row r="3462" ht="14.25"/>
    <row r="3463" ht="14.25"/>
    <row r="3464" ht="14.25"/>
    <row r="3465" ht="14.25"/>
    <row r="3466" ht="14.25"/>
    <row r="3467" ht="14.25"/>
    <row r="3468" ht="14.25"/>
    <row r="3469" ht="14.25"/>
    <row r="3470" ht="14.25"/>
    <row r="3471" ht="14.25"/>
    <row r="3472" ht="14.25"/>
    <row r="3473" ht="14.25"/>
    <row r="3474" ht="14.25"/>
    <row r="3475" ht="14.25"/>
    <row r="3476" ht="14.25"/>
    <row r="3477" ht="14.25"/>
    <row r="3478" ht="14.25"/>
    <row r="3479" ht="14.25"/>
    <row r="3480" ht="14.25"/>
    <row r="3481" ht="14.25"/>
    <row r="3482" ht="14.25"/>
    <row r="3483" ht="14.25"/>
    <row r="3484" ht="14.25"/>
    <row r="3485" ht="14.25"/>
    <row r="3486" ht="14.25"/>
    <row r="3487" ht="14.25"/>
    <row r="3488" ht="14.25"/>
    <row r="3489" ht="14.25"/>
    <row r="3490" ht="14.25"/>
    <row r="3491" ht="14.25"/>
    <row r="3492" ht="14.25"/>
    <row r="3493" ht="14.25"/>
    <row r="3494" ht="14.25"/>
    <row r="3495" ht="14.25"/>
    <row r="3496" ht="14.25"/>
    <row r="3497" ht="14.25"/>
    <row r="3498" ht="14.25"/>
    <row r="3499" ht="14.25"/>
    <row r="3500" ht="14.25"/>
    <row r="3501" ht="14.25"/>
    <row r="3502" ht="14.25"/>
    <row r="3503" ht="14.25"/>
    <row r="3504" ht="14.25"/>
    <row r="3505" ht="14.25"/>
    <row r="3506" ht="14.25"/>
    <row r="3507" ht="14.25"/>
    <row r="3508" ht="14.25"/>
    <row r="3509" ht="14.25"/>
    <row r="3510" ht="14.25"/>
    <row r="3511" ht="14.25"/>
    <row r="3512" ht="14.25"/>
    <row r="3513" ht="14.25"/>
    <row r="3514" ht="14.25"/>
    <row r="3515" ht="14.25"/>
    <row r="3516" ht="14.25"/>
    <row r="3517" ht="14.25"/>
    <row r="3518" ht="14.25"/>
    <row r="3519" ht="14.25"/>
    <row r="3520" ht="14.25"/>
    <row r="3521" ht="14.25"/>
    <row r="3522" ht="14.25"/>
    <row r="3523" ht="14.25"/>
    <row r="3524" ht="14.25"/>
    <row r="3525" ht="14.25"/>
    <row r="3526" ht="14.25"/>
    <row r="3527" ht="14.25"/>
    <row r="3528" ht="14.25"/>
    <row r="3529" ht="14.25"/>
    <row r="3530" ht="14.25"/>
    <row r="3531" ht="14.25"/>
    <row r="3532" ht="14.25"/>
    <row r="3533" ht="14.25"/>
    <row r="3534" ht="14.25"/>
    <row r="3535" ht="14.25"/>
    <row r="3536" ht="14.25"/>
    <row r="3537" ht="14.25"/>
    <row r="3538" ht="14.25"/>
    <row r="3539" ht="14.25"/>
    <row r="3540" ht="14.25"/>
    <row r="3541" ht="14.25"/>
    <row r="3542" ht="14.25"/>
    <row r="3543" ht="14.25"/>
    <row r="3544" ht="14.25"/>
    <row r="3545" ht="14.25"/>
    <row r="3546" ht="14.25"/>
    <row r="3547" ht="14.25"/>
    <row r="3548" ht="14.25"/>
    <row r="3549" ht="14.25"/>
    <row r="3550" ht="14.25"/>
    <row r="3551" ht="14.25"/>
    <row r="3552" ht="14.25"/>
    <row r="3553" ht="14.25"/>
    <row r="3554" ht="14.25"/>
    <row r="3555" ht="14.25"/>
    <row r="3556" ht="14.25"/>
    <row r="3557" ht="14.25"/>
    <row r="3558" ht="14.25"/>
    <row r="3559" ht="14.25"/>
    <row r="3560" ht="14.25"/>
    <row r="3561" ht="14.25"/>
    <row r="3562" ht="14.25"/>
    <row r="3563" ht="14.25"/>
    <row r="3564" ht="14.25"/>
    <row r="3565" ht="14.25"/>
    <row r="3566" ht="14.25"/>
    <row r="3567" ht="14.25"/>
    <row r="3568" ht="14.25"/>
    <row r="3569" ht="14.25"/>
    <row r="3570" ht="14.25"/>
    <row r="3571" ht="14.25"/>
    <row r="3572" ht="14.25"/>
    <row r="3573" ht="14.25"/>
    <row r="3574" ht="14.25"/>
    <row r="3575" ht="14.25"/>
    <row r="3576" ht="14.25"/>
    <row r="3577" ht="14.25"/>
    <row r="3578" ht="14.25"/>
    <row r="3579" ht="14.25"/>
    <row r="3580" ht="14.25"/>
    <row r="3581" ht="14.25"/>
    <row r="3582" ht="14.25"/>
    <row r="3583" ht="14.25"/>
    <row r="3584" ht="14.25"/>
    <row r="3585" ht="14.25"/>
    <row r="3586" ht="14.25"/>
    <row r="3587" ht="14.25"/>
    <row r="3588" ht="14.25"/>
    <row r="3589" ht="14.25"/>
    <row r="3590" ht="14.25"/>
    <row r="3591" ht="14.25"/>
    <row r="3592" ht="14.25"/>
    <row r="3593" ht="14.25"/>
    <row r="3594" ht="14.25"/>
    <row r="3595" ht="14.25"/>
    <row r="3596" ht="14.25"/>
    <row r="3597" ht="14.25"/>
    <row r="3598" ht="14.25"/>
    <row r="3599" ht="14.25"/>
    <row r="3600" ht="14.25"/>
    <row r="3601" ht="14.25"/>
    <row r="3602" ht="14.25"/>
    <row r="3603" ht="14.25"/>
    <row r="3604" ht="14.25"/>
    <row r="3605" ht="14.25"/>
    <row r="3606" ht="14.25"/>
    <row r="3607" ht="14.25"/>
    <row r="3608" ht="14.25"/>
    <row r="3609" ht="14.25"/>
    <row r="3610" ht="14.25"/>
    <row r="3611" ht="14.25"/>
    <row r="3612" ht="14.25"/>
    <row r="3613" ht="14.25"/>
    <row r="3614" ht="14.25"/>
    <row r="3615" ht="14.25"/>
    <row r="3616" ht="14.25"/>
    <row r="3617" ht="14.25"/>
    <row r="3618" ht="14.25"/>
    <row r="3619" ht="14.25"/>
    <row r="3620" ht="14.25"/>
    <row r="3621" ht="14.25"/>
    <row r="3622" ht="14.25"/>
    <row r="3623" ht="14.25"/>
    <row r="3624" ht="14.25"/>
    <row r="3625" ht="14.25"/>
    <row r="3626" ht="14.25"/>
    <row r="3627" ht="14.25"/>
    <row r="3628" ht="14.25"/>
    <row r="3629" ht="14.25"/>
    <row r="3630" ht="14.25"/>
    <row r="3631" ht="14.25"/>
    <row r="3632" ht="14.25"/>
    <row r="3633" ht="14.25"/>
    <row r="3634" ht="14.25"/>
    <row r="3635" ht="14.25"/>
    <row r="3636" ht="14.25"/>
    <row r="3637" ht="14.25"/>
    <row r="3638" ht="14.25"/>
    <row r="3639" ht="14.25"/>
    <row r="3640" ht="14.25"/>
    <row r="3641" ht="14.25"/>
    <row r="3642" ht="14.25"/>
    <row r="3643" ht="14.25"/>
    <row r="3644" ht="14.25"/>
    <row r="3645" ht="14.25"/>
    <row r="3646" ht="14.25"/>
    <row r="3647" ht="14.25"/>
    <row r="3648" ht="14.25"/>
    <row r="3649" ht="14.25"/>
    <row r="3650" ht="14.25"/>
    <row r="3651" ht="14.25"/>
    <row r="3652" ht="14.25"/>
    <row r="3653" ht="14.25"/>
    <row r="3654" ht="14.25"/>
    <row r="3655" ht="14.25"/>
    <row r="3656" ht="14.25"/>
    <row r="3657" ht="14.25"/>
    <row r="3658" ht="14.25"/>
    <row r="3659" ht="14.25"/>
    <row r="3660" ht="14.25"/>
    <row r="3661" ht="14.25"/>
    <row r="3662" ht="14.25"/>
    <row r="3663" ht="14.25"/>
    <row r="3664" ht="14.25"/>
    <row r="3665" ht="14.25"/>
    <row r="3666" ht="14.25"/>
    <row r="3667" ht="14.25"/>
    <row r="3668" ht="14.25"/>
    <row r="3669" ht="14.25"/>
    <row r="3670" ht="14.25"/>
    <row r="3671" ht="14.25"/>
    <row r="3672" ht="14.25"/>
    <row r="3673" ht="14.25"/>
    <row r="3674" ht="14.25"/>
    <row r="3675" ht="14.25"/>
    <row r="3676" ht="14.25"/>
    <row r="3677" ht="14.25"/>
    <row r="3678" ht="14.25"/>
    <row r="3679" ht="14.25"/>
    <row r="3680" ht="14.25"/>
    <row r="3681" ht="14.25"/>
    <row r="3682" ht="14.25"/>
    <row r="3683" ht="14.25"/>
    <row r="3684" ht="14.25"/>
    <row r="3685" ht="14.25"/>
    <row r="3686" ht="14.25"/>
    <row r="3687" ht="14.25"/>
    <row r="3688" ht="14.25"/>
    <row r="3689" ht="14.25"/>
    <row r="3690" ht="14.25"/>
    <row r="3691" ht="14.25"/>
    <row r="3692" ht="14.25"/>
    <row r="3693" ht="14.25"/>
    <row r="3694" ht="14.25"/>
    <row r="3695" ht="14.25"/>
    <row r="3696" ht="14.25"/>
    <row r="3697" ht="14.25"/>
    <row r="3698" ht="14.25"/>
    <row r="3699" ht="14.25"/>
    <row r="3700" ht="14.25"/>
    <row r="3701" ht="14.25"/>
    <row r="3702" ht="14.25"/>
    <row r="3703" ht="14.25"/>
    <row r="3704" ht="14.25"/>
    <row r="3705" ht="14.25"/>
    <row r="3706" ht="14.25"/>
    <row r="3707" ht="14.25"/>
    <row r="3708" ht="14.25"/>
    <row r="3709" ht="14.25"/>
    <row r="3710" ht="14.25"/>
    <row r="3711" ht="14.25"/>
    <row r="3712" ht="14.25"/>
    <row r="3713" ht="14.25"/>
    <row r="3714" ht="14.25"/>
    <row r="3715" ht="14.25"/>
    <row r="3716" ht="14.25"/>
    <row r="3717" ht="14.25"/>
    <row r="3718" ht="14.25"/>
    <row r="3719" ht="14.25"/>
    <row r="3720" ht="14.25"/>
    <row r="3721" ht="14.25"/>
    <row r="3722" ht="14.25"/>
    <row r="3723" ht="14.25"/>
    <row r="3724" ht="14.25"/>
    <row r="3725" ht="14.25"/>
    <row r="3726" ht="14.25"/>
    <row r="3727" ht="14.25"/>
    <row r="3728" ht="14.25"/>
    <row r="3729" ht="14.25"/>
    <row r="3730" ht="14.25"/>
    <row r="3731" ht="14.25"/>
    <row r="3732" ht="14.25"/>
    <row r="3733" ht="14.25"/>
    <row r="3734" ht="14.25"/>
    <row r="3735" ht="14.25"/>
    <row r="3736" ht="14.25"/>
    <row r="3737" ht="14.25"/>
    <row r="3738" ht="14.25"/>
    <row r="3739" ht="14.25"/>
    <row r="3740" ht="14.25"/>
    <row r="3741" ht="14.25"/>
    <row r="3742" ht="14.25"/>
    <row r="3743" ht="14.25"/>
    <row r="3744" ht="14.25"/>
    <row r="3745" ht="14.25"/>
    <row r="3746" ht="14.25"/>
    <row r="3747" ht="14.25"/>
    <row r="3748" ht="14.25"/>
    <row r="3749" ht="14.25"/>
    <row r="3750" ht="14.25"/>
    <row r="3751" ht="14.25"/>
    <row r="3752" ht="14.25"/>
    <row r="3753" ht="14.25"/>
    <row r="3754" ht="14.25"/>
    <row r="3755" ht="14.25"/>
    <row r="3756" ht="14.25"/>
    <row r="3757" ht="14.25"/>
    <row r="3758" ht="14.25"/>
    <row r="3759" ht="14.25"/>
    <row r="3760" ht="14.25"/>
    <row r="3761" ht="14.25"/>
    <row r="3762" ht="14.25"/>
    <row r="3763" ht="14.25"/>
    <row r="3764" ht="14.25"/>
    <row r="3765" ht="14.25"/>
    <row r="3766" ht="14.25"/>
    <row r="3767" ht="14.25"/>
    <row r="3768" ht="14.25"/>
    <row r="3769" ht="14.25"/>
    <row r="3770" ht="14.25"/>
    <row r="3771" ht="14.25"/>
    <row r="3772" ht="14.25"/>
    <row r="3773" ht="14.25"/>
    <row r="3774" ht="14.25"/>
    <row r="3775" ht="14.25"/>
    <row r="3776" ht="14.25"/>
    <row r="3777" ht="14.25"/>
    <row r="3778" ht="14.25"/>
    <row r="3779" ht="14.25"/>
    <row r="3780" ht="14.25"/>
    <row r="3781" ht="14.25"/>
    <row r="3782" ht="14.25"/>
    <row r="3783" ht="14.25"/>
    <row r="3784" ht="14.25"/>
    <row r="3785" ht="14.25"/>
    <row r="3786" ht="14.25"/>
    <row r="3787" ht="14.25"/>
    <row r="3788" ht="14.25"/>
    <row r="3789" ht="14.25"/>
    <row r="3790" ht="14.25"/>
    <row r="3791" ht="14.25"/>
    <row r="3792" ht="14.25"/>
    <row r="3793" ht="14.25"/>
    <row r="3794" ht="14.25"/>
    <row r="3795" ht="14.25"/>
    <row r="3796" ht="14.25"/>
    <row r="3797" ht="14.25"/>
    <row r="3798" ht="14.25"/>
    <row r="3799" ht="14.25"/>
    <row r="3800" ht="14.25"/>
    <row r="3801" ht="14.25"/>
    <row r="3802" ht="14.25"/>
    <row r="3803" ht="14.25"/>
    <row r="3804" ht="14.25"/>
    <row r="3805" ht="14.25"/>
    <row r="3806" ht="14.25"/>
    <row r="3807" ht="14.25"/>
    <row r="3808" ht="14.25"/>
    <row r="3809" ht="14.25"/>
    <row r="3810" ht="14.25"/>
    <row r="3811" ht="14.25"/>
    <row r="3812" ht="14.25"/>
    <row r="3813" ht="14.25"/>
    <row r="3814" ht="14.25"/>
    <row r="3815" ht="14.25"/>
    <row r="3816" ht="14.25"/>
    <row r="3817" ht="14.25"/>
    <row r="3818" ht="14.25"/>
    <row r="3819" ht="14.25"/>
    <row r="3820" ht="14.25"/>
    <row r="3821" ht="14.25"/>
    <row r="3822" ht="14.25"/>
    <row r="3823" ht="14.25"/>
    <row r="3824" ht="14.25"/>
    <row r="3825" ht="14.25"/>
    <row r="3826" ht="14.25"/>
    <row r="3827" ht="14.25"/>
    <row r="3828" ht="14.25"/>
    <row r="3829" ht="14.25"/>
    <row r="3830" ht="14.25"/>
    <row r="3831" ht="14.25"/>
    <row r="3832" ht="14.25"/>
    <row r="3833" ht="14.25"/>
    <row r="3834" ht="14.25"/>
    <row r="3835" ht="14.25"/>
    <row r="3836" ht="14.25"/>
    <row r="3837" ht="14.25"/>
    <row r="3838" ht="14.25"/>
    <row r="3839" ht="14.25"/>
    <row r="3840" ht="14.25"/>
    <row r="3841" ht="14.25"/>
    <row r="3842" ht="14.25"/>
    <row r="3843" ht="14.25"/>
    <row r="3844" ht="14.25"/>
    <row r="3845" ht="14.25"/>
    <row r="3846" ht="14.25"/>
    <row r="3847" ht="14.25"/>
    <row r="3848" ht="14.25"/>
    <row r="3849" ht="14.25"/>
    <row r="3850" ht="14.25"/>
    <row r="3851" ht="14.25"/>
    <row r="3852" ht="14.25"/>
    <row r="3853" ht="14.25"/>
    <row r="3854" ht="14.25"/>
    <row r="3855" ht="14.25"/>
    <row r="3856" ht="14.25"/>
    <row r="3857" ht="14.25"/>
    <row r="3858" ht="14.25"/>
    <row r="3859" ht="14.25"/>
    <row r="3860" ht="14.25"/>
    <row r="3861" ht="14.25"/>
    <row r="3862" ht="14.25"/>
    <row r="3863" ht="14.25"/>
    <row r="3864" ht="14.25"/>
    <row r="3865" ht="14.25"/>
    <row r="3866" ht="14.25"/>
    <row r="3867" ht="14.25"/>
    <row r="3868" ht="14.25"/>
    <row r="3869" ht="14.25"/>
    <row r="3870" ht="14.25"/>
    <row r="3871" ht="14.25"/>
    <row r="3872" ht="14.25"/>
    <row r="3873" ht="14.25"/>
    <row r="3874" ht="14.25"/>
    <row r="3875" ht="14.25"/>
    <row r="3876" ht="14.25"/>
    <row r="3877" ht="14.25"/>
    <row r="3878" ht="14.25"/>
    <row r="3879" ht="14.25"/>
    <row r="3880" ht="14.25"/>
    <row r="3881" ht="14.25"/>
    <row r="3882" ht="14.25"/>
    <row r="3883" ht="14.25"/>
    <row r="3884" ht="14.25"/>
    <row r="3885" ht="14.25"/>
    <row r="3886" ht="14.25"/>
    <row r="3887" ht="14.25"/>
    <row r="3888" ht="14.25"/>
    <row r="3889" ht="14.25"/>
    <row r="3890" ht="14.25"/>
    <row r="3891" ht="14.25"/>
    <row r="3892" ht="14.25"/>
    <row r="3893" ht="14.25"/>
    <row r="3894" ht="14.25"/>
    <row r="3895" ht="14.25"/>
    <row r="3896" ht="14.25"/>
    <row r="3897" ht="14.25"/>
    <row r="3898" ht="14.25"/>
    <row r="3899" ht="14.25"/>
    <row r="3900" ht="14.25"/>
    <row r="3901" ht="14.25"/>
    <row r="3902" ht="14.25"/>
    <row r="3903" ht="14.25"/>
    <row r="3904" ht="14.25"/>
    <row r="3905" ht="14.25"/>
    <row r="3906" ht="14.25"/>
    <row r="3907" ht="14.25"/>
    <row r="3908" ht="14.25"/>
    <row r="3909" ht="14.25"/>
    <row r="3910" ht="14.25"/>
    <row r="3911" ht="14.25"/>
    <row r="3912" ht="14.25"/>
    <row r="3913" ht="14.25"/>
    <row r="3914" ht="14.25"/>
    <row r="3915" ht="14.25"/>
    <row r="3916" ht="14.25"/>
    <row r="3917" ht="14.25"/>
    <row r="3918" ht="14.25"/>
    <row r="3919" ht="14.25"/>
    <row r="3920" ht="14.25"/>
    <row r="3921" ht="14.25"/>
    <row r="3922" ht="14.25"/>
    <row r="3923" ht="14.25"/>
    <row r="3924" ht="14.25"/>
    <row r="3925" ht="14.25"/>
    <row r="3926" ht="14.25"/>
    <row r="3927" ht="14.25"/>
    <row r="3928" ht="14.25"/>
    <row r="3929" ht="14.25"/>
    <row r="3930" ht="14.25"/>
    <row r="3931" ht="14.25"/>
    <row r="3932" ht="14.25"/>
    <row r="3933" ht="14.25"/>
    <row r="3934" ht="14.25"/>
    <row r="3935" ht="14.25"/>
    <row r="3936" ht="14.25"/>
    <row r="3937" ht="14.25"/>
    <row r="3938" ht="14.25"/>
    <row r="3939" ht="14.25"/>
    <row r="3940" ht="14.25"/>
    <row r="3941" ht="14.25"/>
    <row r="3942" ht="14.25"/>
    <row r="3943" ht="14.25"/>
    <row r="3944" ht="14.25"/>
    <row r="3945" ht="14.25"/>
    <row r="3946" ht="14.25"/>
    <row r="3947" ht="14.25"/>
    <row r="3948" ht="14.25"/>
    <row r="3949" ht="14.25"/>
    <row r="3950" ht="14.25"/>
    <row r="3951" ht="14.25"/>
    <row r="3952" ht="14.25"/>
    <row r="3953" ht="14.25"/>
    <row r="3954" ht="14.25"/>
    <row r="3955" ht="14.25"/>
    <row r="3956" ht="14.25"/>
    <row r="3957" ht="14.25"/>
    <row r="3958" ht="14.25"/>
    <row r="3959" ht="14.25"/>
    <row r="3960" ht="14.25"/>
    <row r="3961" ht="14.25"/>
    <row r="3962" ht="14.25"/>
    <row r="3963" ht="14.25"/>
    <row r="3964" ht="14.25"/>
    <row r="3965" ht="14.25"/>
    <row r="3966" ht="14.25"/>
    <row r="3967" ht="14.25"/>
    <row r="3968" ht="14.25"/>
    <row r="3969" ht="14.25"/>
    <row r="3970" ht="14.25"/>
    <row r="3971" ht="14.25"/>
    <row r="3972" ht="14.25"/>
    <row r="3973" ht="14.25"/>
    <row r="3974" ht="14.25"/>
    <row r="3975" ht="14.25"/>
    <row r="3976" ht="14.25"/>
    <row r="3977" ht="14.25"/>
    <row r="3978" ht="14.25"/>
    <row r="3979" ht="14.25"/>
    <row r="3980" ht="14.25"/>
    <row r="3981" ht="14.25"/>
    <row r="3982" ht="14.25"/>
    <row r="3983" ht="14.25"/>
    <row r="3984" ht="14.25"/>
    <row r="3985" ht="14.25"/>
    <row r="3986" ht="14.25"/>
    <row r="3987" ht="14.25"/>
    <row r="3988" ht="14.25"/>
    <row r="3989" ht="14.25"/>
    <row r="3990" ht="14.25"/>
    <row r="3991" ht="14.25"/>
    <row r="3992" ht="14.25"/>
    <row r="3993" ht="14.25"/>
    <row r="3994" ht="14.25"/>
    <row r="3995" ht="14.25"/>
    <row r="3996" ht="14.25"/>
    <row r="3997" ht="14.25"/>
    <row r="3998" ht="14.25"/>
    <row r="3999" ht="14.25"/>
    <row r="4000" ht="14.25"/>
    <row r="4001" ht="14.25"/>
    <row r="4002" ht="14.25"/>
    <row r="4003" ht="14.25"/>
    <row r="4004" ht="14.25"/>
    <row r="4005" ht="14.25"/>
    <row r="4006" ht="14.25"/>
    <row r="4007" ht="14.25"/>
    <row r="4008" ht="14.25"/>
    <row r="4009" ht="14.25"/>
    <row r="4010" ht="14.25"/>
    <row r="4011" ht="14.25"/>
    <row r="4012" ht="14.25"/>
    <row r="4013" ht="14.25"/>
    <row r="4014" ht="14.25"/>
    <row r="4015" ht="14.25"/>
    <row r="4016" ht="14.25"/>
    <row r="4017" ht="14.25"/>
    <row r="4018" ht="14.25"/>
    <row r="4019" ht="14.25"/>
    <row r="4020" ht="14.25"/>
    <row r="4021" ht="14.25"/>
    <row r="4022" ht="14.25"/>
    <row r="4023" ht="14.25"/>
    <row r="4024" ht="14.25"/>
    <row r="4025" ht="14.25"/>
    <row r="4026" ht="14.25"/>
    <row r="4027" ht="14.25"/>
    <row r="4028" ht="14.25"/>
    <row r="4029" ht="14.25"/>
    <row r="4030" ht="14.25"/>
    <row r="4031" ht="14.25"/>
    <row r="4032" ht="14.25"/>
    <row r="4033" ht="14.25"/>
    <row r="4034" ht="14.25"/>
    <row r="4035" ht="14.25"/>
    <row r="4036" ht="14.25"/>
    <row r="4037" ht="14.25"/>
    <row r="4038" ht="14.25"/>
    <row r="4039" ht="14.25"/>
    <row r="4040" ht="14.25"/>
    <row r="4041" ht="14.25"/>
    <row r="4042" ht="14.25"/>
    <row r="4043" ht="14.25"/>
    <row r="4044" ht="14.25"/>
    <row r="4045" ht="14.25"/>
    <row r="4046" ht="14.25"/>
    <row r="4047" ht="14.25"/>
    <row r="4048" ht="14.25"/>
    <row r="4049" ht="14.25"/>
    <row r="4050" ht="14.25"/>
    <row r="4051" ht="14.25"/>
    <row r="4052" ht="14.25"/>
    <row r="4053" ht="14.25"/>
    <row r="4054" ht="14.25"/>
    <row r="4055" ht="14.25"/>
    <row r="4056" ht="14.25"/>
    <row r="4057" ht="14.25"/>
    <row r="4058" ht="14.25"/>
    <row r="4059" ht="14.25"/>
    <row r="4060" ht="14.25"/>
    <row r="4061" ht="14.25"/>
    <row r="4062" ht="14.25"/>
    <row r="4063" ht="14.25"/>
    <row r="4064" ht="14.25"/>
    <row r="4065" ht="14.25"/>
    <row r="4066" ht="14.25"/>
    <row r="4067" ht="14.25"/>
    <row r="4068" ht="14.25"/>
    <row r="4069" ht="14.25"/>
    <row r="4070" ht="14.25"/>
    <row r="4071" ht="14.25"/>
    <row r="4072" ht="14.25"/>
    <row r="4073" ht="14.25"/>
    <row r="4074" ht="14.25"/>
    <row r="4075" ht="14.25"/>
    <row r="4076" ht="14.25"/>
    <row r="4077" ht="14.25"/>
    <row r="4078" ht="14.25"/>
    <row r="4079" ht="14.25"/>
    <row r="4080" ht="14.25"/>
    <row r="4081" ht="14.25"/>
    <row r="4082" ht="14.25"/>
    <row r="4083" ht="14.25"/>
    <row r="4084" ht="14.25"/>
    <row r="4085" ht="14.25"/>
    <row r="4086" ht="14.25"/>
    <row r="4087" ht="14.25"/>
    <row r="4088" ht="14.25"/>
    <row r="4089" ht="14.25"/>
    <row r="4090" ht="14.25"/>
    <row r="4091" ht="14.25"/>
    <row r="4092" ht="14.25"/>
    <row r="4093" ht="14.25"/>
    <row r="4094" ht="14.25"/>
    <row r="4095" ht="14.25"/>
    <row r="4096" ht="14.25"/>
    <row r="4097" ht="14.25"/>
    <row r="4098" ht="14.25"/>
    <row r="4099" ht="14.25"/>
    <row r="4100" ht="14.25"/>
    <row r="4101" ht="14.25"/>
    <row r="4102" ht="14.25"/>
    <row r="4103" ht="14.25"/>
    <row r="4104" ht="14.25"/>
    <row r="4105" ht="14.25"/>
    <row r="4106" ht="14.25"/>
    <row r="4107" ht="14.25"/>
    <row r="4108" ht="14.25"/>
    <row r="4109" ht="14.25"/>
    <row r="4110" ht="14.25"/>
    <row r="4111" ht="14.25"/>
    <row r="4112" ht="14.25"/>
    <row r="4113" ht="14.25"/>
    <row r="4114" ht="14.25"/>
    <row r="4115" ht="14.25"/>
    <row r="4116" ht="14.25"/>
    <row r="4117" ht="14.25"/>
    <row r="4118" ht="14.25"/>
    <row r="4119" ht="14.25"/>
    <row r="4120" ht="14.25"/>
    <row r="4121" ht="14.25"/>
    <row r="4122" ht="14.25"/>
    <row r="4123" ht="14.25"/>
    <row r="4124" ht="14.25"/>
    <row r="4125" ht="14.25"/>
    <row r="4126" ht="14.25"/>
    <row r="4127" ht="14.25"/>
    <row r="4128" ht="14.25"/>
    <row r="4129" ht="14.25"/>
    <row r="4130" ht="14.25"/>
    <row r="4131" ht="14.25"/>
    <row r="4132" ht="14.25"/>
    <row r="4133" ht="14.25"/>
    <row r="4134" ht="14.25"/>
    <row r="4135" ht="14.25"/>
    <row r="4136" ht="14.25"/>
    <row r="4137" ht="14.25"/>
    <row r="4138" ht="14.25"/>
    <row r="4139" ht="14.25"/>
    <row r="4140" ht="14.25"/>
    <row r="4141" ht="14.25"/>
    <row r="4142" ht="14.25"/>
    <row r="4143" ht="14.25"/>
    <row r="4144" ht="14.25"/>
    <row r="4145" ht="14.25"/>
    <row r="4146" ht="14.25"/>
    <row r="4147" ht="14.25"/>
    <row r="4148" ht="14.25"/>
    <row r="4149" ht="14.25"/>
    <row r="4150" ht="14.25"/>
    <row r="4151" ht="14.25"/>
    <row r="4152" ht="14.25"/>
    <row r="4153" ht="14.25"/>
    <row r="4154" ht="14.25"/>
    <row r="4155" ht="14.25"/>
    <row r="4156" ht="14.25"/>
    <row r="4157" ht="14.25"/>
    <row r="4158" ht="14.25"/>
    <row r="4159" ht="14.25"/>
    <row r="4160" ht="14.25"/>
    <row r="4161" ht="14.25"/>
    <row r="4162" ht="14.25"/>
    <row r="4163" ht="14.25"/>
    <row r="4164" ht="14.25"/>
    <row r="4165" ht="14.25"/>
    <row r="4166" ht="14.25"/>
    <row r="4167" ht="14.25"/>
    <row r="4168" ht="14.25"/>
    <row r="4169" ht="14.25"/>
    <row r="4170" ht="14.25"/>
    <row r="4171" ht="14.25"/>
    <row r="4172" ht="14.25"/>
    <row r="4173" ht="14.25"/>
    <row r="4174" ht="14.25"/>
    <row r="4175" ht="14.25"/>
    <row r="4176" ht="14.25"/>
    <row r="4177" ht="14.25"/>
    <row r="4178" ht="14.25"/>
    <row r="4179" ht="14.25"/>
    <row r="4180" ht="14.25"/>
    <row r="4181" ht="14.25"/>
    <row r="4182" ht="14.25"/>
    <row r="4183" ht="14.25"/>
    <row r="4184" ht="14.25"/>
    <row r="4185" ht="14.25"/>
    <row r="4186" ht="14.25"/>
    <row r="4187" ht="14.25"/>
    <row r="4188" ht="14.25"/>
    <row r="4189" ht="14.25"/>
    <row r="4190" ht="14.25"/>
    <row r="4191" ht="14.25"/>
    <row r="4192" ht="14.25"/>
    <row r="4193" ht="14.25"/>
    <row r="4194" ht="14.25"/>
    <row r="4195" ht="14.25"/>
    <row r="4196" ht="14.25"/>
    <row r="4197" ht="14.25"/>
    <row r="4198" ht="14.25"/>
    <row r="4199" ht="14.25"/>
    <row r="4200" ht="14.25"/>
    <row r="4201" ht="14.25"/>
    <row r="4202" ht="14.25"/>
    <row r="4203" ht="14.25"/>
    <row r="4204" ht="14.25"/>
    <row r="4205" ht="14.25"/>
    <row r="4206" ht="14.25"/>
    <row r="4207" ht="14.25"/>
    <row r="4208" ht="14.25"/>
    <row r="4209" ht="14.25"/>
    <row r="4210" ht="14.25"/>
    <row r="4211" ht="14.25"/>
    <row r="4212" ht="14.25"/>
    <row r="4213" ht="14.25"/>
    <row r="4214" ht="14.25"/>
    <row r="4215" ht="14.25"/>
    <row r="4216" ht="14.25"/>
    <row r="4217" ht="14.25"/>
    <row r="4218" ht="14.25"/>
    <row r="4219" ht="14.25"/>
    <row r="4220" ht="14.25"/>
    <row r="4221" ht="14.25"/>
    <row r="4222" ht="14.25"/>
    <row r="4223" ht="14.25"/>
    <row r="4224" ht="14.25"/>
    <row r="4225" ht="14.25"/>
    <row r="4226" ht="14.25"/>
    <row r="4227" ht="14.25"/>
    <row r="4228" ht="14.25"/>
    <row r="4229" ht="14.25"/>
    <row r="4230" ht="14.25"/>
    <row r="4231" ht="14.25"/>
    <row r="4232" ht="14.25"/>
    <row r="4233" ht="14.25"/>
    <row r="4234" ht="14.25"/>
    <row r="4235" ht="14.25"/>
    <row r="4236" ht="14.25"/>
    <row r="4237" ht="14.25"/>
    <row r="4238" ht="14.25"/>
    <row r="4239" ht="14.25"/>
    <row r="4240" ht="14.25"/>
    <row r="4241" ht="14.25"/>
    <row r="4242" ht="14.25"/>
    <row r="4243" ht="14.25"/>
    <row r="4244" ht="14.25"/>
    <row r="4245" ht="14.25"/>
    <row r="4246" ht="14.25"/>
    <row r="4247" ht="14.25"/>
    <row r="4248" ht="14.25"/>
    <row r="4249" ht="14.25"/>
    <row r="4250" ht="14.25"/>
    <row r="4251" ht="14.25"/>
    <row r="4252" ht="14.25"/>
    <row r="4253" ht="14.25"/>
    <row r="4254" ht="14.25"/>
    <row r="4255" ht="14.25"/>
    <row r="4256" ht="14.25"/>
    <row r="4257" ht="14.25"/>
    <row r="4258" ht="14.25"/>
    <row r="4259" ht="14.25"/>
    <row r="4260" ht="14.25"/>
    <row r="4261" ht="14.25"/>
    <row r="4262" ht="14.25"/>
    <row r="4263" ht="14.25"/>
    <row r="4264" ht="14.25"/>
    <row r="4265" ht="14.25"/>
    <row r="4266" ht="14.25"/>
    <row r="4267" ht="14.25"/>
    <row r="4268" ht="14.25"/>
    <row r="4269" ht="14.25"/>
    <row r="4270" ht="14.25"/>
    <row r="4271" ht="14.25"/>
    <row r="4272" ht="14.25"/>
    <row r="4273" ht="14.25"/>
    <row r="4274" ht="14.25"/>
    <row r="4275" ht="14.25"/>
    <row r="4276" ht="14.25"/>
    <row r="4277" ht="14.25"/>
    <row r="4278" ht="14.25"/>
    <row r="4279" ht="14.25"/>
    <row r="4280" ht="14.25"/>
    <row r="4281" ht="14.25"/>
    <row r="4282" ht="14.25"/>
    <row r="4283" ht="14.25"/>
    <row r="4284" ht="14.25"/>
    <row r="4285" ht="14.25"/>
    <row r="4286" ht="14.25"/>
    <row r="4287" ht="14.25"/>
    <row r="4288" ht="14.25"/>
    <row r="4289" ht="14.25"/>
    <row r="4290" ht="14.25"/>
    <row r="4291" ht="14.25"/>
    <row r="4292" ht="14.25"/>
    <row r="4293" ht="14.25"/>
    <row r="4294" ht="14.25"/>
    <row r="4295" ht="14.25"/>
    <row r="4296" ht="14.25"/>
    <row r="4297" ht="14.25"/>
    <row r="4298" ht="14.25"/>
    <row r="4299" ht="14.25"/>
    <row r="4300" ht="14.25"/>
    <row r="4301" ht="14.25"/>
    <row r="4302" ht="14.25"/>
    <row r="4303" ht="14.25"/>
    <row r="4304" ht="14.25"/>
    <row r="4305" ht="14.25"/>
    <row r="4306" ht="14.25"/>
    <row r="4307" ht="14.25"/>
    <row r="4308" ht="14.25"/>
    <row r="4309" ht="14.25"/>
    <row r="4310" ht="14.25"/>
    <row r="4311" ht="14.25"/>
    <row r="4312" ht="14.25"/>
    <row r="4313" ht="14.25"/>
    <row r="4314" ht="14.25"/>
    <row r="4315" ht="14.25"/>
    <row r="4316" ht="14.25"/>
    <row r="4317" ht="14.25"/>
    <row r="4318" ht="14.25"/>
    <row r="4319" ht="14.25"/>
    <row r="4320" ht="14.25"/>
    <row r="4321" ht="14.25"/>
    <row r="4322" ht="14.25"/>
    <row r="4323" ht="14.25"/>
    <row r="4324" ht="14.25"/>
    <row r="4325" ht="14.25"/>
    <row r="4326" ht="14.25"/>
    <row r="4327" ht="14.25"/>
    <row r="4328" ht="14.25"/>
    <row r="4329" ht="14.25"/>
    <row r="4330" ht="14.25"/>
    <row r="4331" ht="14.25"/>
    <row r="4332" ht="14.25"/>
    <row r="4333" ht="14.25"/>
    <row r="4334" ht="14.25"/>
    <row r="4335" ht="14.25"/>
    <row r="4336" ht="14.25"/>
    <row r="4337" ht="14.25"/>
    <row r="4338" ht="14.25"/>
    <row r="4339" ht="14.25"/>
    <row r="4340" ht="14.25"/>
    <row r="4341" ht="14.25"/>
    <row r="4342" ht="14.25"/>
    <row r="4343" ht="14.25"/>
    <row r="4344" ht="14.25"/>
    <row r="4345" ht="14.25"/>
    <row r="4346" ht="14.25"/>
    <row r="4347" ht="14.25"/>
    <row r="4348" ht="14.25"/>
    <row r="4349" ht="14.25"/>
    <row r="4350" ht="14.25"/>
    <row r="4351" ht="14.25"/>
    <row r="4352" ht="14.25"/>
    <row r="4353" ht="14.25"/>
    <row r="4354" ht="14.25"/>
    <row r="4355" ht="14.25"/>
    <row r="4356" ht="14.25"/>
    <row r="4357" ht="14.25"/>
    <row r="4358" ht="14.25"/>
    <row r="4359" ht="14.25"/>
    <row r="4360" ht="14.25"/>
    <row r="4361" ht="14.25"/>
    <row r="4362" ht="14.25"/>
    <row r="4363" ht="14.25"/>
    <row r="4364" ht="14.25"/>
    <row r="4365" ht="14.25"/>
    <row r="4366" ht="14.25"/>
    <row r="4367" ht="14.25"/>
    <row r="4368" ht="14.25"/>
    <row r="4369" ht="14.25"/>
    <row r="4370" ht="14.25"/>
    <row r="4371" ht="14.25"/>
    <row r="4372" ht="14.25"/>
    <row r="4373" ht="14.25"/>
    <row r="4374" ht="14.25"/>
    <row r="4375" ht="14.25"/>
    <row r="4376" ht="14.25"/>
    <row r="4377" ht="14.25"/>
    <row r="4378" ht="14.25"/>
    <row r="4379" ht="14.25"/>
    <row r="4380" ht="14.25"/>
    <row r="4381" ht="14.25"/>
    <row r="4382" ht="14.25"/>
    <row r="4383" ht="14.25"/>
    <row r="4384" ht="14.25"/>
    <row r="4385" ht="14.25"/>
    <row r="4386" ht="14.25"/>
    <row r="4387" ht="14.25"/>
    <row r="4388" ht="14.25"/>
    <row r="4389" ht="14.25"/>
    <row r="4390" ht="14.25"/>
    <row r="4391" ht="14.25"/>
    <row r="4392" ht="14.25"/>
    <row r="4393" ht="14.25"/>
    <row r="4394" ht="14.25"/>
    <row r="4395" ht="14.25"/>
    <row r="4396" ht="14.25"/>
    <row r="4397" ht="14.25"/>
    <row r="4398" ht="14.25"/>
    <row r="4399" ht="14.25"/>
    <row r="4400" ht="14.25"/>
    <row r="4401" ht="14.25"/>
    <row r="4402" ht="14.25"/>
    <row r="4403" ht="14.25"/>
    <row r="4404" ht="14.25"/>
    <row r="4405" ht="14.25"/>
    <row r="4406" ht="14.25"/>
    <row r="4407" ht="14.25"/>
    <row r="4408" ht="14.25"/>
    <row r="4409" ht="14.25"/>
    <row r="4410" ht="14.25"/>
    <row r="4411" ht="14.25"/>
    <row r="4412" ht="14.25"/>
    <row r="4413" ht="14.25"/>
    <row r="4414" ht="14.25"/>
    <row r="4415" ht="14.25"/>
    <row r="4416" ht="14.25"/>
    <row r="4417" ht="14.25"/>
    <row r="4418" ht="14.25"/>
    <row r="4419" ht="14.25"/>
    <row r="4420" ht="14.25"/>
    <row r="4421" ht="14.25"/>
    <row r="4422" ht="14.25"/>
    <row r="4423" ht="14.25"/>
    <row r="4424" ht="14.25"/>
    <row r="4425" ht="14.25"/>
    <row r="4426" ht="14.25"/>
    <row r="4427" ht="14.25"/>
    <row r="4428" ht="14.25"/>
    <row r="4429" ht="14.25"/>
    <row r="4430" ht="14.25"/>
    <row r="4431" ht="14.25"/>
    <row r="4432" ht="14.25"/>
    <row r="4433" ht="14.25"/>
    <row r="4434" ht="14.25"/>
    <row r="4435" ht="14.25"/>
    <row r="4436" ht="14.25"/>
    <row r="4437" ht="14.25"/>
    <row r="4438" ht="14.25"/>
    <row r="4439" ht="14.25"/>
    <row r="4440" ht="14.25"/>
    <row r="4441" ht="14.25"/>
    <row r="4442" ht="14.25"/>
    <row r="4443" ht="14.25"/>
    <row r="4444" ht="14.25"/>
    <row r="4445" ht="14.25"/>
    <row r="4446" ht="14.25"/>
    <row r="4447" ht="14.25"/>
    <row r="4448" ht="14.25"/>
    <row r="4449" ht="14.25"/>
    <row r="4450" ht="14.25"/>
    <row r="4451" ht="14.25"/>
    <row r="4452" ht="14.25"/>
    <row r="4453" ht="14.25"/>
    <row r="4454" ht="14.25"/>
    <row r="4455" ht="14.25"/>
    <row r="4456" ht="14.25"/>
    <row r="4457" ht="14.25"/>
    <row r="4458" ht="14.25"/>
    <row r="4459" ht="14.25"/>
    <row r="4460" ht="14.25"/>
    <row r="4461" ht="14.25"/>
    <row r="4462" ht="14.25"/>
    <row r="4463" ht="14.25"/>
    <row r="4464" ht="14.25"/>
    <row r="4465" ht="14.25"/>
    <row r="4466" ht="14.25"/>
    <row r="4467" ht="14.25"/>
    <row r="4468" ht="14.25"/>
    <row r="4469" ht="14.25"/>
    <row r="4470" ht="14.25"/>
    <row r="4471" ht="14.25"/>
    <row r="4472" ht="14.25"/>
    <row r="4473" ht="14.25"/>
    <row r="4474" ht="14.25"/>
    <row r="4475" ht="14.25"/>
    <row r="4476" ht="14.25"/>
    <row r="4477" ht="14.25"/>
    <row r="4478" ht="14.25"/>
    <row r="4479" ht="14.25"/>
    <row r="4480" ht="14.25"/>
    <row r="4481" ht="14.25"/>
    <row r="4482" ht="14.25"/>
    <row r="4483" ht="14.25"/>
    <row r="4484" ht="14.25"/>
    <row r="4485" ht="14.25"/>
    <row r="4486" ht="14.25"/>
    <row r="4487" ht="14.25"/>
    <row r="4488" ht="14.25"/>
    <row r="4489" ht="14.25"/>
    <row r="4490" ht="14.25"/>
    <row r="4491" ht="14.25"/>
    <row r="4492" ht="14.25"/>
    <row r="4493" ht="14.25"/>
    <row r="4494" ht="14.25"/>
    <row r="4495" ht="14.25"/>
    <row r="4496" ht="14.25"/>
    <row r="4497" ht="14.25"/>
    <row r="4498" ht="14.25"/>
    <row r="4499" ht="14.25"/>
    <row r="4500" ht="14.25"/>
    <row r="4501" ht="14.25"/>
    <row r="4502" ht="14.25"/>
    <row r="4503" ht="14.25"/>
    <row r="4504" ht="14.25"/>
    <row r="4505" ht="14.25"/>
    <row r="4506" ht="14.25"/>
    <row r="4507" ht="14.25"/>
    <row r="4508" ht="14.25"/>
    <row r="4509" ht="14.25"/>
    <row r="4510" ht="14.25"/>
    <row r="4511" ht="14.25"/>
    <row r="4512" ht="14.25"/>
    <row r="4513" ht="14.25"/>
    <row r="4514" ht="14.25"/>
    <row r="4515" ht="14.25"/>
    <row r="4516" ht="14.25"/>
    <row r="4517" ht="14.25"/>
    <row r="4518" ht="14.25"/>
    <row r="4519" ht="14.25"/>
    <row r="4520" ht="14.25"/>
    <row r="4521" ht="14.25"/>
    <row r="4522" ht="14.25"/>
    <row r="4523" ht="14.25"/>
    <row r="4524" ht="14.25"/>
    <row r="4525" ht="14.25"/>
    <row r="4526" ht="14.25"/>
    <row r="4527" ht="14.25"/>
    <row r="4528" ht="14.25"/>
    <row r="4529" ht="14.25"/>
    <row r="4530" ht="14.25"/>
    <row r="4531" ht="14.25"/>
    <row r="4532" ht="14.25"/>
    <row r="4533" ht="14.25"/>
    <row r="4534" ht="14.25"/>
    <row r="4535" ht="14.25"/>
    <row r="4536" ht="14.25"/>
    <row r="4537" ht="14.25"/>
    <row r="4538" ht="14.25"/>
    <row r="4539" ht="14.25"/>
    <row r="4540" ht="14.25"/>
    <row r="4541" ht="14.25"/>
    <row r="4542" ht="14.25"/>
    <row r="4543" ht="14.25"/>
    <row r="4544" ht="14.25"/>
    <row r="4545" ht="14.25"/>
    <row r="4546" ht="14.25"/>
    <row r="4547" ht="14.25"/>
    <row r="4548" ht="14.25"/>
    <row r="4549" ht="14.25"/>
    <row r="4550" ht="14.25"/>
    <row r="4551" ht="14.25"/>
    <row r="4552" ht="14.25"/>
    <row r="4553" ht="14.25"/>
    <row r="4554" ht="14.25"/>
    <row r="4555" ht="14.25"/>
    <row r="4556" ht="14.25"/>
    <row r="4557" ht="14.25"/>
    <row r="4558" ht="14.25"/>
    <row r="4559" ht="14.25"/>
    <row r="4560" ht="14.25"/>
    <row r="4561" ht="14.25"/>
    <row r="4562" ht="14.25"/>
    <row r="4563" ht="14.25"/>
    <row r="4564" ht="14.25"/>
    <row r="4565" ht="14.25"/>
    <row r="4566" ht="14.25"/>
    <row r="4567" ht="14.25"/>
    <row r="4568" ht="14.25"/>
    <row r="4569" ht="14.25"/>
    <row r="4570" ht="14.25"/>
    <row r="4571" ht="14.25"/>
    <row r="4572" ht="14.25"/>
    <row r="4573" ht="14.25"/>
    <row r="4574" ht="14.25"/>
    <row r="4575" ht="14.25"/>
    <row r="4576" ht="14.25"/>
    <row r="4577" ht="14.25"/>
    <row r="4578" ht="14.25"/>
    <row r="4579" ht="14.25"/>
    <row r="4580" ht="14.25"/>
    <row r="4581" ht="14.25"/>
    <row r="4582" ht="14.25"/>
    <row r="4583" ht="14.25"/>
    <row r="4584" ht="14.25"/>
    <row r="4585" ht="14.25"/>
    <row r="4586" ht="14.25"/>
    <row r="4587" ht="14.25"/>
    <row r="4588" ht="14.25"/>
    <row r="4589" ht="14.25"/>
    <row r="4590" ht="14.25"/>
    <row r="4591" ht="14.25"/>
    <row r="4592" ht="14.25"/>
    <row r="4593" ht="14.25"/>
    <row r="4594" ht="14.25"/>
    <row r="4595" ht="14.25"/>
    <row r="4596" ht="14.25"/>
    <row r="4597" ht="14.25"/>
    <row r="4598" ht="14.25"/>
    <row r="4599" ht="14.25"/>
    <row r="4600" ht="14.25"/>
    <row r="4601" ht="14.25"/>
    <row r="4602" ht="14.25"/>
    <row r="4603" ht="14.25"/>
    <row r="4604" ht="14.25"/>
    <row r="4605" ht="14.25"/>
    <row r="4606" ht="14.25"/>
    <row r="4607" ht="14.25"/>
    <row r="4608" ht="14.25"/>
    <row r="4609" ht="14.25"/>
    <row r="4610" ht="14.25"/>
    <row r="4611" ht="14.25"/>
    <row r="4612" ht="14.25"/>
    <row r="4613" ht="14.25"/>
    <row r="4614" ht="14.25"/>
    <row r="4615" ht="14.25"/>
    <row r="4616" ht="14.25"/>
    <row r="4617" ht="14.25"/>
    <row r="4618" ht="14.25"/>
    <row r="4619" ht="14.25"/>
    <row r="4620" ht="14.25"/>
    <row r="4621" ht="14.25"/>
    <row r="4622" ht="14.25"/>
    <row r="4623" ht="14.25"/>
    <row r="4624" ht="14.25"/>
    <row r="4625" ht="14.25"/>
    <row r="4626" ht="14.25"/>
    <row r="4627" ht="14.25"/>
    <row r="4628" ht="14.25"/>
    <row r="4629" ht="14.25"/>
    <row r="4630" ht="14.25"/>
    <row r="4631" ht="14.25"/>
    <row r="4632" ht="14.25"/>
    <row r="4633" ht="14.25"/>
    <row r="4634" ht="14.25"/>
    <row r="4635" ht="14.25"/>
    <row r="4636" ht="14.25"/>
    <row r="4637" ht="14.25"/>
    <row r="4638" ht="14.25"/>
    <row r="4639" ht="14.25"/>
    <row r="4640" ht="14.25"/>
    <row r="4641" ht="14.25"/>
    <row r="4642" ht="14.25"/>
    <row r="4643" ht="14.25"/>
    <row r="4644" ht="14.25"/>
    <row r="4645" ht="14.25"/>
    <row r="4646" ht="14.25"/>
    <row r="4647" ht="14.25"/>
    <row r="4648" ht="14.25"/>
    <row r="4649" ht="14.25"/>
    <row r="4650" ht="14.25"/>
    <row r="4651" ht="14.25"/>
    <row r="4652" ht="14.25"/>
    <row r="4653" ht="14.25"/>
    <row r="4654" ht="14.25"/>
    <row r="4655" ht="14.25"/>
    <row r="4656" ht="14.25"/>
    <row r="4657" ht="14.25"/>
    <row r="4658" ht="14.25"/>
    <row r="4659" ht="14.25"/>
    <row r="4660" ht="14.25"/>
    <row r="4661" ht="14.25"/>
    <row r="4662" ht="14.25"/>
    <row r="4663" ht="14.25"/>
    <row r="4664" ht="14.25"/>
    <row r="4665" ht="14.25"/>
    <row r="4666" ht="14.25"/>
    <row r="4667" ht="14.25"/>
    <row r="4668" ht="14.25"/>
    <row r="4669" ht="14.25"/>
    <row r="4670" ht="14.25"/>
    <row r="4671" ht="14.25"/>
    <row r="4672" ht="14.25"/>
    <row r="4673" ht="14.25"/>
    <row r="4674" ht="14.25"/>
    <row r="4675" ht="14.25"/>
    <row r="4676" ht="14.25"/>
    <row r="4677" ht="14.25"/>
    <row r="4678" ht="14.25"/>
    <row r="4679" ht="14.25"/>
    <row r="4680" ht="14.25"/>
    <row r="4681" ht="14.25"/>
    <row r="4682" ht="14.25"/>
    <row r="4683" ht="14.25"/>
    <row r="4684" ht="14.25"/>
    <row r="4685" ht="14.25"/>
    <row r="4686" ht="14.25"/>
    <row r="4687" ht="14.25"/>
    <row r="4688" ht="14.25"/>
    <row r="4689" ht="14.25"/>
    <row r="4690" ht="14.25"/>
    <row r="4691" ht="14.25"/>
    <row r="4692" ht="14.25"/>
    <row r="4693" ht="14.25"/>
    <row r="4694" ht="14.25"/>
    <row r="4695" ht="14.25"/>
    <row r="4696" ht="14.25"/>
    <row r="4697" ht="14.25"/>
    <row r="4698" ht="14.25"/>
    <row r="4699" ht="14.25"/>
    <row r="4700" ht="14.25"/>
    <row r="4701" ht="14.25"/>
    <row r="4702" ht="14.25"/>
    <row r="4703" ht="14.25"/>
    <row r="4704" ht="14.25"/>
    <row r="4705" ht="14.25"/>
    <row r="4706" ht="14.25"/>
    <row r="4707" ht="14.25"/>
    <row r="4708" ht="14.25"/>
    <row r="4709" ht="14.25"/>
    <row r="4710" ht="14.25"/>
    <row r="4711" ht="14.25"/>
    <row r="4712" ht="14.25"/>
    <row r="4713" ht="14.25"/>
    <row r="4714" ht="14.25"/>
    <row r="4715" ht="14.25"/>
    <row r="4716" ht="14.25"/>
    <row r="4717" ht="14.25"/>
    <row r="4718" ht="14.25"/>
    <row r="4719" ht="14.25"/>
    <row r="4720" ht="14.25"/>
    <row r="4721" ht="14.25"/>
    <row r="4722" ht="14.25"/>
    <row r="4723" ht="14.25"/>
    <row r="4724" ht="14.25"/>
    <row r="4725" ht="14.25"/>
    <row r="4726" ht="14.25"/>
    <row r="4727" ht="14.25"/>
    <row r="4728" ht="14.25"/>
    <row r="4729" ht="14.25"/>
    <row r="4730" ht="14.25"/>
    <row r="4731" ht="14.25"/>
    <row r="4732" ht="14.25"/>
    <row r="4733" ht="14.25"/>
    <row r="4734" ht="14.25"/>
    <row r="4735" ht="14.25"/>
    <row r="4736" ht="14.25"/>
    <row r="4737" ht="14.25"/>
    <row r="4738" ht="14.25"/>
    <row r="4739" ht="14.25"/>
    <row r="4740" ht="14.25"/>
    <row r="4741" ht="14.25"/>
    <row r="4742" ht="14.25"/>
    <row r="4743" ht="14.25"/>
    <row r="4744" ht="14.25"/>
    <row r="4745" ht="14.25"/>
    <row r="4746" ht="14.25"/>
    <row r="4747" ht="14.25"/>
    <row r="4748" ht="14.25"/>
    <row r="4749" ht="14.25"/>
    <row r="4750" ht="14.25"/>
    <row r="4751" ht="14.25"/>
    <row r="4752" ht="14.25"/>
    <row r="4753" ht="14.25"/>
    <row r="4754" ht="14.25"/>
    <row r="4755" ht="14.25"/>
    <row r="4756" ht="14.25"/>
    <row r="4757" ht="14.25"/>
    <row r="4758" ht="14.25"/>
    <row r="4759" ht="14.25"/>
    <row r="4760" ht="14.25"/>
    <row r="4761" ht="14.25"/>
    <row r="4762" ht="14.25"/>
    <row r="4763" ht="14.25"/>
    <row r="4764" ht="14.25"/>
    <row r="4765" ht="14.25"/>
    <row r="4766" ht="14.25"/>
    <row r="4767" ht="14.25"/>
    <row r="4768" ht="14.25"/>
    <row r="4769" ht="14.25"/>
    <row r="4770" ht="14.25"/>
    <row r="4771" ht="14.25"/>
    <row r="4772" ht="14.25"/>
    <row r="4773" ht="14.25"/>
    <row r="4774" ht="14.25"/>
    <row r="4775" ht="14.25"/>
    <row r="4776" ht="14.25"/>
    <row r="4777" ht="14.25"/>
    <row r="4778" ht="14.25"/>
    <row r="4779" ht="14.25"/>
    <row r="4780" ht="14.25"/>
    <row r="4781" ht="14.25"/>
    <row r="4782" ht="14.25"/>
    <row r="4783" ht="14.25"/>
    <row r="4784" ht="14.25"/>
    <row r="4785" ht="14.25"/>
    <row r="4786" ht="14.25"/>
    <row r="4787" ht="14.25"/>
    <row r="4788" ht="14.25"/>
    <row r="4789" ht="14.25"/>
    <row r="4790" ht="14.25"/>
    <row r="4791" ht="14.25"/>
    <row r="4792" ht="14.25"/>
    <row r="4793" ht="14.25"/>
    <row r="4794" ht="14.25"/>
    <row r="4795" ht="14.25"/>
    <row r="4796" ht="14.25"/>
    <row r="4797" ht="14.25"/>
    <row r="4798" ht="14.25"/>
    <row r="4799" ht="14.25"/>
    <row r="4800" ht="14.25"/>
    <row r="4801" ht="14.25"/>
    <row r="4802" ht="14.25"/>
    <row r="4803" ht="14.25"/>
    <row r="4804" ht="14.25"/>
    <row r="4805" ht="14.25"/>
    <row r="4806" ht="14.25"/>
    <row r="4807" ht="14.25"/>
    <row r="4808" ht="14.25"/>
    <row r="4809" ht="14.25"/>
    <row r="4810" ht="14.25"/>
    <row r="4811" ht="14.25"/>
    <row r="4812" ht="14.25"/>
    <row r="4813" ht="14.25"/>
    <row r="4814" ht="14.25"/>
    <row r="4815" ht="14.25"/>
    <row r="4816" ht="14.25"/>
    <row r="4817" ht="14.25"/>
    <row r="4818" ht="14.25"/>
    <row r="4819" ht="14.25"/>
    <row r="4820" ht="14.25"/>
    <row r="4821" ht="14.25"/>
    <row r="4822" ht="14.25"/>
    <row r="4823" ht="14.25"/>
    <row r="4824" ht="14.25"/>
    <row r="4825" ht="14.25"/>
    <row r="4826" ht="14.25"/>
    <row r="4827" ht="14.25"/>
    <row r="4828" ht="14.25"/>
    <row r="4829" ht="14.25"/>
    <row r="4830" ht="14.25"/>
    <row r="4831" ht="14.25"/>
    <row r="4832" ht="14.25"/>
    <row r="4833" ht="14.25"/>
    <row r="4834" ht="14.25"/>
    <row r="4835" ht="14.25"/>
    <row r="4836" ht="14.25"/>
    <row r="4837" ht="14.25"/>
    <row r="4838" ht="14.25"/>
    <row r="4839" ht="14.25"/>
    <row r="4840" ht="14.25"/>
    <row r="4841" ht="14.25"/>
    <row r="4842" ht="14.25"/>
    <row r="4843" ht="14.25"/>
    <row r="4844" ht="14.25"/>
    <row r="4845" ht="14.25"/>
    <row r="4846" ht="14.25"/>
    <row r="4847" ht="14.25"/>
    <row r="4848" ht="14.25"/>
    <row r="4849" ht="14.25"/>
    <row r="4850" ht="14.25"/>
    <row r="4851" ht="14.25"/>
    <row r="4852" ht="14.25"/>
    <row r="4853" ht="14.25"/>
    <row r="4854" ht="14.25"/>
    <row r="4855" ht="14.25"/>
    <row r="4856" ht="14.25"/>
    <row r="4857" ht="14.25"/>
    <row r="4858" ht="14.25"/>
    <row r="4859" ht="14.25"/>
    <row r="4860" ht="14.25"/>
    <row r="4861" ht="14.25"/>
    <row r="4862" ht="14.25"/>
    <row r="4863" ht="14.25"/>
    <row r="4864" ht="14.25"/>
    <row r="4865" ht="14.25"/>
    <row r="4866" ht="14.25"/>
    <row r="4867" ht="14.25"/>
    <row r="4868" ht="14.25"/>
    <row r="4869" ht="14.25"/>
    <row r="4870" ht="14.25"/>
    <row r="4871" ht="14.25"/>
    <row r="4872" ht="14.25"/>
    <row r="4873" ht="14.25"/>
    <row r="4874" ht="14.25"/>
    <row r="4875" ht="14.25"/>
    <row r="4876" ht="14.25"/>
    <row r="4877" ht="14.25"/>
    <row r="4878" ht="14.25"/>
    <row r="4879" ht="14.25"/>
    <row r="4880" ht="14.25"/>
    <row r="4881" ht="14.25"/>
    <row r="4882" ht="14.25"/>
    <row r="4883" ht="14.25"/>
    <row r="4884" ht="14.25"/>
    <row r="4885" ht="14.25"/>
    <row r="4886" ht="14.25"/>
    <row r="4887" ht="14.25"/>
    <row r="4888" ht="14.25"/>
    <row r="4889" ht="14.25"/>
    <row r="4890" ht="14.25"/>
    <row r="4891" ht="14.25"/>
    <row r="4892" ht="14.25"/>
    <row r="4893" ht="14.25"/>
    <row r="4894" ht="14.25"/>
    <row r="4895" ht="14.25"/>
    <row r="4896" ht="14.25"/>
    <row r="4897" ht="14.25"/>
    <row r="4898" ht="14.25"/>
    <row r="4899" ht="14.25"/>
    <row r="4900" ht="14.25"/>
    <row r="4901" ht="14.25"/>
    <row r="4902" ht="14.25"/>
    <row r="4903" ht="14.25"/>
    <row r="4904" ht="14.25"/>
    <row r="4905" ht="14.25"/>
    <row r="4906" ht="14.25"/>
    <row r="4907" ht="14.25"/>
    <row r="4908" ht="14.25"/>
    <row r="4909" ht="14.25"/>
    <row r="4910" ht="14.25"/>
    <row r="4911" ht="14.25"/>
    <row r="4912" ht="14.25"/>
    <row r="4913" ht="14.25"/>
    <row r="4914" ht="14.25"/>
    <row r="4915" ht="14.25"/>
    <row r="4916" ht="14.25"/>
    <row r="4917" ht="14.25"/>
    <row r="4918" ht="14.25"/>
    <row r="4919" ht="14.25"/>
    <row r="4920" ht="14.25"/>
    <row r="4921" ht="14.25"/>
    <row r="4922" ht="14.25"/>
    <row r="4923" ht="14.25"/>
    <row r="4924" ht="14.25"/>
    <row r="4925" ht="14.25"/>
    <row r="4926" ht="14.25"/>
    <row r="4927" ht="14.25"/>
    <row r="4928" ht="14.25"/>
    <row r="4929" ht="14.25"/>
    <row r="4930" ht="14.25"/>
    <row r="4931" ht="14.25"/>
    <row r="4932" ht="14.25"/>
    <row r="4933" ht="14.25"/>
    <row r="4934" ht="14.25"/>
    <row r="4935" ht="14.25"/>
    <row r="4936" ht="14.25"/>
    <row r="4937" ht="14.25"/>
    <row r="4938" ht="14.25"/>
    <row r="4939" ht="14.25"/>
    <row r="4940" ht="14.25"/>
    <row r="4941" ht="14.25"/>
    <row r="4942" ht="14.25"/>
    <row r="4943" ht="14.25"/>
    <row r="4944" ht="14.25"/>
    <row r="4945" ht="14.25"/>
    <row r="4946" ht="14.25"/>
    <row r="4947" ht="14.25"/>
    <row r="4948" ht="14.25"/>
    <row r="4949" ht="14.25"/>
    <row r="4950" ht="14.25"/>
    <row r="4951" ht="14.25"/>
    <row r="4952" ht="14.25"/>
    <row r="4953" ht="14.25"/>
    <row r="4954" ht="14.25"/>
    <row r="4955" ht="14.25"/>
    <row r="4956" ht="14.25"/>
    <row r="4957" ht="14.25"/>
    <row r="4958" ht="14.25"/>
    <row r="4959" ht="14.25"/>
    <row r="4960" ht="14.25"/>
    <row r="4961" ht="14.25"/>
    <row r="4962" ht="14.25"/>
    <row r="4963" ht="14.25"/>
    <row r="4964" ht="14.25"/>
    <row r="4965" ht="14.25"/>
    <row r="4966" ht="14.25"/>
    <row r="4967" ht="14.25"/>
    <row r="4968" ht="14.25"/>
    <row r="4969" ht="14.25"/>
    <row r="4970" ht="14.25"/>
    <row r="4971" ht="14.25"/>
    <row r="4972" ht="14.25"/>
    <row r="4973" ht="14.25"/>
    <row r="4974" ht="14.25"/>
    <row r="4975" ht="14.25"/>
    <row r="4976" ht="14.25"/>
    <row r="4977" ht="14.25"/>
    <row r="4978" ht="14.25"/>
    <row r="4979" ht="14.25"/>
    <row r="4980" ht="14.25"/>
    <row r="4981" ht="14.25"/>
    <row r="4982" ht="14.25"/>
    <row r="4983" ht="14.25"/>
    <row r="4984" ht="14.25"/>
    <row r="4985" ht="14.25"/>
    <row r="4986" ht="14.25"/>
    <row r="4987" ht="14.25"/>
    <row r="4988" ht="14.25"/>
    <row r="4989" ht="14.25"/>
    <row r="4990" ht="14.25"/>
    <row r="4991" ht="14.25"/>
    <row r="4992" ht="14.25"/>
    <row r="4993" ht="14.25"/>
    <row r="4994" ht="14.25"/>
    <row r="4995" ht="14.25"/>
    <row r="4996" ht="14.25"/>
    <row r="4997" ht="14.25"/>
    <row r="4998" ht="14.25"/>
    <row r="4999" ht="14.25"/>
    <row r="5000" ht="14.25"/>
    <row r="5001" ht="14.25"/>
    <row r="5002" ht="14.25"/>
    <row r="5003" ht="14.25"/>
    <row r="5004" ht="14.25"/>
    <row r="5005" ht="14.25"/>
    <row r="5006" ht="14.25"/>
    <row r="5007" ht="14.25"/>
    <row r="5008" ht="14.25"/>
    <row r="5009" ht="14.25"/>
    <row r="5010" ht="14.25"/>
    <row r="5011" ht="14.25"/>
    <row r="5012" ht="14.25"/>
    <row r="5013" ht="14.25"/>
    <row r="5014" ht="14.25"/>
    <row r="5015" ht="14.25"/>
    <row r="5016" ht="14.25"/>
    <row r="5017" ht="14.25"/>
    <row r="5018" ht="14.25"/>
    <row r="5019" ht="14.25"/>
    <row r="5020" ht="14.25"/>
    <row r="5021" ht="14.25"/>
    <row r="5022" ht="14.25"/>
    <row r="5023" ht="14.25"/>
    <row r="5024" ht="14.25"/>
    <row r="5025" ht="14.25"/>
    <row r="5026" ht="14.25"/>
    <row r="5027" ht="14.25"/>
    <row r="5028" ht="14.25"/>
    <row r="5029" ht="14.25"/>
    <row r="5030" ht="14.25"/>
    <row r="5031" ht="14.25"/>
    <row r="5032" ht="14.25"/>
    <row r="5033" ht="14.25"/>
    <row r="5034" ht="14.25"/>
    <row r="5035" ht="14.25"/>
    <row r="5036" ht="14.25"/>
    <row r="5037" ht="14.25"/>
    <row r="5038" ht="14.25"/>
    <row r="5039" ht="14.25"/>
    <row r="5040" ht="14.25"/>
    <row r="5041" ht="14.25"/>
    <row r="5042" ht="14.25"/>
    <row r="5043" ht="14.25"/>
    <row r="5044" ht="14.25"/>
    <row r="5045" ht="14.25"/>
    <row r="5046" ht="14.25"/>
    <row r="5047" ht="14.25"/>
    <row r="5048" ht="14.25"/>
    <row r="5049" ht="14.25"/>
    <row r="5050" ht="14.25"/>
    <row r="5051" ht="14.25"/>
    <row r="5052" ht="14.25"/>
    <row r="5053" ht="14.25"/>
    <row r="5054" ht="14.25"/>
    <row r="5055" ht="14.25"/>
    <row r="5056" ht="14.25"/>
    <row r="5057" ht="14.25"/>
    <row r="5058" ht="14.25"/>
    <row r="5059" ht="14.25"/>
    <row r="5060" ht="14.25"/>
    <row r="5061" ht="14.25"/>
    <row r="5062" ht="14.25"/>
    <row r="5063" ht="14.25"/>
    <row r="5064" ht="14.25"/>
    <row r="5065" ht="14.25"/>
    <row r="5066" ht="14.25"/>
    <row r="5067" ht="14.25"/>
    <row r="5068" ht="14.25"/>
    <row r="5069" ht="14.25"/>
    <row r="5070" ht="14.25"/>
    <row r="5071" ht="14.25"/>
    <row r="5072" ht="14.25"/>
    <row r="5073" ht="14.25"/>
    <row r="5074" ht="14.25"/>
    <row r="5075" ht="14.25"/>
    <row r="5076" ht="14.25"/>
    <row r="5077" ht="14.25"/>
    <row r="5078" ht="14.25"/>
    <row r="5079" ht="14.25"/>
    <row r="5080" ht="14.25"/>
    <row r="5081" ht="14.25"/>
    <row r="5082" ht="14.25"/>
    <row r="5083" ht="14.25"/>
    <row r="5084" ht="14.25"/>
    <row r="5085" ht="14.25"/>
    <row r="5086" ht="14.25"/>
    <row r="5087" ht="14.25"/>
    <row r="5088" ht="14.25"/>
    <row r="5089" ht="14.25"/>
    <row r="5090" ht="14.25"/>
    <row r="5091" ht="14.25"/>
    <row r="5092" ht="14.25"/>
    <row r="5093" ht="14.25"/>
    <row r="5094" ht="14.25"/>
    <row r="5095" ht="14.25"/>
    <row r="5096" ht="14.25"/>
    <row r="5097" ht="14.25"/>
    <row r="5098" ht="14.25"/>
    <row r="5099" ht="14.25"/>
    <row r="5100" ht="14.25"/>
    <row r="5101" ht="14.25"/>
    <row r="5102" ht="14.25"/>
    <row r="5103" ht="14.25"/>
    <row r="5104" ht="14.25"/>
    <row r="5105" ht="14.25"/>
    <row r="5106" ht="14.25"/>
    <row r="5107" ht="14.25"/>
    <row r="5108" ht="14.25"/>
    <row r="5109" ht="14.25"/>
    <row r="5110" ht="14.25"/>
    <row r="5111" ht="14.25"/>
    <row r="5112" ht="14.25"/>
    <row r="5113" ht="14.25"/>
    <row r="5114" ht="14.25"/>
    <row r="5115" ht="14.25"/>
    <row r="5116" ht="14.25"/>
    <row r="5117" ht="14.25"/>
    <row r="5118" ht="14.25"/>
    <row r="5119" ht="14.25"/>
    <row r="5120" ht="14.25"/>
    <row r="5121" ht="14.25"/>
    <row r="5122" ht="14.25"/>
    <row r="5123" ht="14.25"/>
    <row r="5124" ht="14.25"/>
    <row r="5125" ht="14.25"/>
    <row r="5126" ht="14.25"/>
    <row r="5127" ht="14.25"/>
    <row r="5128" ht="14.25"/>
    <row r="5129" ht="14.25"/>
    <row r="5130" ht="14.25"/>
    <row r="5131" ht="14.25"/>
    <row r="5132" ht="14.25"/>
    <row r="5133" ht="14.25"/>
    <row r="5134" ht="14.25"/>
    <row r="5135" ht="14.25"/>
    <row r="5136" ht="14.25"/>
    <row r="5137" ht="14.25"/>
    <row r="5138" ht="14.25"/>
    <row r="5139" ht="14.25"/>
    <row r="5140" ht="14.25"/>
    <row r="5141" ht="14.25"/>
    <row r="5142" ht="14.25"/>
    <row r="5143" ht="14.25"/>
    <row r="5144" ht="14.25"/>
    <row r="5145" ht="14.25"/>
    <row r="5146" ht="14.25"/>
    <row r="5147" ht="14.25"/>
    <row r="5148" ht="14.25"/>
    <row r="5149" ht="14.25"/>
    <row r="5150" ht="14.25"/>
    <row r="5151" ht="14.25"/>
    <row r="5152" ht="14.25"/>
    <row r="5153" ht="14.25"/>
    <row r="5154" ht="14.25"/>
    <row r="5155" ht="14.25"/>
    <row r="5156" ht="14.25"/>
    <row r="5157" ht="14.25"/>
    <row r="5158" ht="14.25"/>
    <row r="5159" ht="14.25"/>
    <row r="5160" ht="14.25"/>
    <row r="5161" ht="14.25"/>
    <row r="5162" ht="14.25"/>
    <row r="5163" ht="14.25"/>
    <row r="5164" ht="14.25"/>
    <row r="5165" ht="14.25"/>
    <row r="5166" ht="14.25"/>
    <row r="5167" ht="14.25"/>
    <row r="5168" ht="14.25"/>
    <row r="5169" ht="14.25"/>
    <row r="5170" ht="14.25"/>
    <row r="5171" ht="14.25"/>
    <row r="5172" ht="14.25"/>
    <row r="5173" ht="14.25"/>
    <row r="5174" ht="14.25"/>
    <row r="5175" ht="14.25"/>
    <row r="5176" ht="14.25"/>
    <row r="5177" ht="14.25"/>
    <row r="5178" ht="14.25"/>
    <row r="5179" ht="14.25"/>
    <row r="5180" ht="14.25"/>
    <row r="5181" ht="14.25"/>
    <row r="5182" ht="14.25"/>
    <row r="5183" ht="14.25"/>
    <row r="5184" ht="14.25"/>
    <row r="5185" ht="14.25"/>
    <row r="5186" ht="14.25"/>
    <row r="5187" ht="14.25"/>
    <row r="5188" ht="14.25"/>
    <row r="5189" ht="14.25"/>
    <row r="5190" ht="14.25"/>
    <row r="5191" ht="14.25"/>
    <row r="5192" ht="14.25"/>
    <row r="5193" ht="14.25"/>
    <row r="5194" ht="14.25"/>
    <row r="5195" ht="14.25"/>
    <row r="5196" ht="14.25"/>
    <row r="5197" ht="14.25"/>
    <row r="5198" ht="14.25"/>
    <row r="5199" ht="14.25"/>
    <row r="5200" ht="14.25"/>
    <row r="5201" ht="14.25"/>
    <row r="5202" ht="14.25"/>
    <row r="5203" ht="14.25"/>
    <row r="5204" ht="14.25"/>
    <row r="5205" ht="14.25"/>
    <row r="5206" ht="14.25"/>
    <row r="5207" ht="14.25"/>
    <row r="5208" ht="14.25"/>
    <row r="5209" ht="14.25"/>
    <row r="5210" ht="14.25"/>
    <row r="5211" ht="14.25"/>
    <row r="5212" ht="14.25"/>
    <row r="5213" ht="14.25"/>
    <row r="5214" ht="14.25"/>
    <row r="5215" ht="14.25"/>
    <row r="5216" ht="14.25"/>
    <row r="5217" ht="14.25"/>
    <row r="5218" ht="14.25"/>
    <row r="5219" ht="14.25"/>
    <row r="5220" ht="14.25"/>
    <row r="5221" ht="14.25"/>
    <row r="5222" ht="14.25"/>
    <row r="5223" ht="14.25"/>
    <row r="5224" ht="14.25"/>
    <row r="5225" ht="14.25"/>
    <row r="5226" ht="14.25"/>
    <row r="5227" ht="14.25"/>
    <row r="5228" ht="14.25"/>
    <row r="5229" ht="14.25"/>
    <row r="5230" ht="14.25"/>
    <row r="5231" ht="14.25"/>
    <row r="5232" ht="14.25"/>
    <row r="5233" ht="14.25"/>
    <row r="5234" ht="14.25"/>
    <row r="5235" ht="14.25"/>
    <row r="5236" ht="14.25"/>
    <row r="5237" ht="14.25"/>
    <row r="5238" ht="14.25"/>
    <row r="5239" ht="14.25"/>
    <row r="5240" ht="14.25"/>
    <row r="5241" ht="14.25"/>
    <row r="5242" ht="14.25"/>
    <row r="5243" ht="14.25"/>
    <row r="5244" ht="14.25"/>
    <row r="5245" ht="14.25"/>
    <row r="5246" ht="14.25"/>
    <row r="5247" ht="14.25"/>
    <row r="5248" ht="14.25"/>
    <row r="5249" ht="14.25"/>
    <row r="5250" ht="14.25"/>
    <row r="5251" ht="14.25"/>
    <row r="5252" ht="14.25"/>
    <row r="5253" ht="14.25"/>
    <row r="5254" ht="14.25"/>
    <row r="5255" ht="14.25"/>
    <row r="5256" ht="14.25"/>
    <row r="5257" ht="14.25"/>
    <row r="5258" ht="14.25"/>
    <row r="5259" ht="14.25"/>
    <row r="5260" ht="14.25"/>
    <row r="5261" ht="14.25"/>
    <row r="5262" ht="14.25"/>
    <row r="5263" ht="14.25"/>
    <row r="5264" ht="14.25"/>
    <row r="5265" ht="14.25"/>
    <row r="5266" ht="14.25"/>
    <row r="5267" ht="14.25"/>
    <row r="5268" ht="14.25"/>
    <row r="5269" ht="14.25"/>
    <row r="5270" ht="14.25"/>
    <row r="5271" ht="14.25"/>
    <row r="5272" ht="14.25"/>
    <row r="5273" ht="14.25"/>
    <row r="5274" ht="14.25"/>
    <row r="5275" ht="14.25"/>
    <row r="5276" ht="14.25"/>
    <row r="5277" ht="14.25"/>
    <row r="5278" ht="14.25"/>
    <row r="5279" ht="14.25"/>
    <row r="5280" ht="14.25"/>
    <row r="5281" ht="14.25"/>
    <row r="5282" ht="14.25"/>
    <row r="5283" ht="14.25"/>
    <row r="5284" ht="14.25"/>
    <row r="5285" ht="14.25"/>
    <row r="5286" ht="14.25"/>
    <row r="5287" ht="14.25"/>
    <row r="5288" ht="14.25"/>
    <row r="5289" ht="14.25"/>
    <row r="5290" ht="14.25"/>
    <row r="5291" ht="14.25"/>
    <row r="5292" ht="14.25"/>
    <row r="5293" ht="14.25"/>
    <row r="5294" ht="14.25"/>
    <row r="5295" ht="14.25"/>
    <row r="5296" ht="14.25"/>
    <row r="5297" ht="14.25"/>
    <row r="5298" ht="14.25"/>
    <row r="5299" ht="14.25"/>
    <row r="5300" ht="14.25"/>
    <row r="5301" ht="14.25"/>
    <row r="5302" ht="14.25"/>
    <row r="5303" ht="14.25"/>
    <row r="5304" ht="14.25"/>
    <row r="5305" ht="14.25"/>
    <row r="5306" ht="14.25"/>
    <row r="5307" ht="14.25"/>
    <row r="5308" ht="14.25"/>
    <row r="5309" ht="14.25"/>
    <row r="5310" ht="14.25"/>
    <row r="5311" ht="14.25"/>
    <row r="5312" ht="14.25"/>
    <row r="5313" ht="14.25"/>
    <row r="5314" ht="14.25"/>
    <row r="5315" ht="14.25"/>
    <row r="5316" ht="14.25"/>
    <row r="5317" ht="14.25"/>
    <row r="5318" ht="14.25"/>
    <row r="5319" ht="14.25"/>
    <row r="5320" ht="14.25"/>
    <row r="5321" ht="14.25"/>
    <row r="5322" ht="14.25"/>
    <row r="5323" ht="14.25"/>
    <row r="5324" ht="14.25"/>
    <row r="5325" ht="14.25"/>
    <row r="5326" ht="14.25"/>
    <row r="5327" ht="14.25"/>
    <row r="5328" ht="14.25"/>
    <row r="5329" ht="14.25"/>
    <row r="5330" ht="14.25"/>
    <row r="5331" ht="14.25"/>
    <row r="5332" ht="14.25"/>
    <row r="5333" ht="14.25"/>
    <row r="5334" ht="14.25"/>
    <row r="5335" ht="14.25"/>
    <row r="5336" ht="14.25"/>
    <row r="5337" ht="14.25"/>
    <row r="5338" ht="14.25"/>
    <row r="5339" ht="14.25"/>
    <row r="5340" ht="14.25"/>
    <row r="5341" ht="14.25"/>
    <row r="5342" ht="14.25"/>
    <row r="5343" ht="14.25"/>
    <row r="5344" ht="14.25"/>
    <row r="5345" ht="14.25"/>
    <row r="5346" ht="14.25"/>
    <row r="5347" ht="14.25"/>
    <row r="5348" ht="14.25"/>
    <row r="5349" ht="14.25"/>
    <row r="5350" ht="14.25"/>
    <row r="5351" ht="14.25"/>
    <row r="5352" ht="14.25"/>
    <row r="5353" ht="14.25"/>
    <row r="5354" ht="14.25"/>
    <row r="5355" ht="14.25"/>
    <row r="5356" ht="14.25"/>
    <row r="5357" ht="14.25"/>
    <row r="5358" ht="14.25"/>
    <row r="5359" ht="14.25"/>
    <row r="5360" ht="14.25"/>
    <row r="5361" ht="14.25"/>
    <row r="5362" ht="14.25"/>
    <row r="5363" ht="14.25"/>
    <row r="5364" ht="14.25"/>
    <row r="5365" ht="14.25"/>
    <row r="5366" ht="14.25"/>
    <row r="5367" ht="14.25"/>
    <row r="5368" ht="14.25"/>
    <row r="5369" ht="14.25"/>
    <row r="5370" ht="14.25"/>
    <row r="5371" ht="14.25"/>
    <row r="5372" ht="14.25"/>
    <row r="5373" ht="14.25"/>
    <row r="5374" ht="14.25"/>
    <row r="5375" ht="14.25"/>
    <row r="5376" ht="14.25"/>
    <row r="5377" ht="14.25"/>
    <row r="5378" ht="14.25"/>
    <row r="5379" ht="14.25"/>
    <row r="5380" ht="14.25"/>
    <row r="5381" ht="14.25"/>
    <row r="5382" ht="14.25"/>
    <row r="5383" ht="14.25"/>
    <row r="5384" ht="14.25"/>
    <row r="5385" ht="14.25"/>
    <row r="5386" ht="14.25"/>
    <row r="5387" ht="14.25"/>
    <row r="5388" ht="14.25"/>
    <row r="5389" ht="14.25"/>
    <row r="5390" ht="14.25"/>
    <row r="5391" ht="14.25"/>
    <row r="5392" ht="14.25"/>
    <row r="5393" ht="14.25"/>
    <row r="5394" ht="14.25"/>
    <row r="5395" ht="14.25"/>
    <row r="5396" ht="14.25"/>
    <row r="5397" ht="14.25"/>
    <row r="5398" ht="14.25"/>
    <row r="5399" ht="14.25"/>
    <row r="5400" ht="14.25"/>
    <row r="5401" ht="14.25"/>
    <row r="5402" ht="14.25"/>
    <row r="5403" ht="14.25"/>
    <row r="5404" ht="14.25"/>
    <row r="5405" ht="14.25"/>
    <row r="5406" ht="14.25"/>
    <row r="5407" ht="14.25"/>
    <row r="5408" ht="14.25"/>
    <row r="5409" ht="14.25"/>
    <row r="5410" ht="14.25"/>
    <row r="5411" ht="14.25"/>
    <row r="5412" ht="14.25"/>
    <row r="5413" ht="14.25"/>
    <row r="5414" ht="14.25"/>
    <row r="5415" ht="14.25"/>
    <row r="5416" ht="14.25"/>
    <row r="5417" ht="14.25"/>
    <row r="5418" ht="14.25"/>
    <row r="5419" ht="14.25"/>
    <row r="5420" ht="14.25"/>
    <row r="5421" ht="14.25"/>
    <row r="5422" ht="14.25"/>
    <row r="5423" ht="14.25"/>
    <row r="5424" ht="14.25"/>
    <row r="5425" ht="14.25"/>
    <row r="5426" ht="14.25"/>
    <row r="5427" ht="14.25"/>
    <row r="5428" ht="14.25"/>
    <row r="5429" ht="14.25"/>
    <row r="5430" ht="14.25"/>
    <row r="5431" ht="14.25"/>
    <row r="5432" ht="14.25"/>
    <row r="5433" ht="14.25"/>
    <row r="5434" ht="14.25"/>
    <row r="5435" ht="14.25"/>
    <row r="5436" ht="14.25"/>
    <row r="5437" ht="14.25"/>
    <row r="5438" ht="14.25"/>
    <row r="5439" ht="14.25"/>
    <row r="5440" ht="14.25"/>
    <row r="5441" ht="14.25"/>
    <row r="5442" ht="14.25"/>
    <row r="5443" ht="14.25"/>
    <row r="5444" ht="14.25"/>
    <row r="5445" ht="14.25"/>
    <row r="5446" ht="14.25"/>
    <row r="5447" ht="14.25"/>
    <row r="5448" ht="14.25"/>
    <row r="5449" ht="14.25"/>
    <row r="5450" ht="14.25"/>
    <row r="5451" ht="14.25"/>
    <row r="5452" ht="14.25"/>
    <row r="5453" ht="14.25"/>
    <row r="5454" ht="14.25"/>
    <row r="5455" ht="14.25"/>
    <row r="5456" ht="14.25"/>
    <row r="5457" ht="14.25"/>
    <row r="5458" ht="14.25"/>
    <row r="5459" ht="14.25"/>
    <row r="5460" ht="14.25"/>
    <row r="5461" ht="14.25"/>
    <row r="5462" ht="14.25"/>
    <row r="5463" ht="14.25"/>
    <row r="5464" ht="14.25"/>
    <row r="5465" ht="14.25"/>
    <row r="5466" ht="14.25"/>
    <row r="5467" ht="14.25"/>
    <row r="5468" ht="14.25"/>
    <row r="5469" ht="14.25"/>
    <row r="5470" ht="14.25"/>
    <row r="5471" ht="14.25"/>
    <row r="5472" ht="14.25"/>
    <row r="5473" ht="14.25"/>
    <row r="5474" ht="14.25"/>
    <row r="5475" ht="14.25"/>
    <row r="5476" ht="14.25"/>
    <row r="5477" ht="14.25"/>
    <row r="5478" ht="14.25"/>
    <row r="5479" ht="14.25"/>
    <row r="5480" ht="14.25"/>
    <row r="5481" ht="14.25"/>
    <row r="5482" ht="14.25"/>
    <row r="5483" ht="14.25"/>
    <row r="5484" ht="14.25"/>
    <row r="5485" ht="14.25"/>
    <row r="5486" ht="14.25"/>
    <row r="5487" ht="14.25"/>
    <row r="5488" ht="14.25"/>
    <row r="5489" ht="14.25"/>
    <row r="5490" ht="14.25"/>
    <row r="5491" ht="14.25"/>
    <row r="5492" ht="14.25"/>
    <row r="5493" ht="14.25"/>
    <row r="5494" ht="14.25"/>
    <row r="5495" ht="14.25"/>
    <row r="5496" ht="14.25"/>
    <row r="5497" ht="14.25"/>
    <row r="5498" ht="14.25"/>
    <row r="5499" ht="14.25"/>
    <row r="5500" ht="14.25"/>
    <row r="5501" ht="14.25"/>
    <row r="5502" ht="14.25"/>
    <row r="5503" ht="14.25"/>
    <row r="5504" ht="14.25"/>
    <row r="5505" ht="14.25"/>
    <row r="5506" ht="14.25"/>
    <row r="5507" ht="14.25"/>
    <row r="5508" ht="14.25"/>
    <row r="5509" ht="14.25"/>
    <row r="5510" ht="14.25"/>
    <row r="5511" ht="14.25"/>
    <row r="5512" ht="14.25"/>
    <row r="5513" ht="14.25"/>
    <row r="5514" ht="14.25"/>
    <row r="5515" ht="14.25"/>
    <row r="5516" ht="14.25"/>
    <row r="5517" ht="14.25"/>
    <row r="5518" ht="14.25"/>
    <row r="5519" ht="14.25"/>
    <row r="5520" ht="14.25"/>
    <row r="5521" ht="14.25"/>
    <row r="5522" ht="14.25"/>
    <row r="5523" ht="14.25"/>
    <row r="5524" ht="14.25"/>
    <row r="5525" ht="14.25"/>
    <row r="5526" ht="14.25"/>
    <row r="5527" ht="14.25"/>
    <row r="5528" ht="14.25"/>
    <row r="5529" ht="14.25"/>
    <row r="5530" ht="14.25"/>
    <row r="5531" ht="14.25"/>
    <row r="5532" ht="14.25"/>
    <row r="5533" ht="14.25"/>
    <row r="5534" ht="14.25"/>
    <row r="5535" ht="14.25"/>
    <row r="5536" ht="14.25"/>
    <row r="5537" ht="14.25"/>
    <row r="5538" ht="14.25"/>
    <row r="5539" ht="14.25"/>
    <row r="5540" ht="14.25"/>
    <row r="5541" ht="14.25"/>
    <row r="5542" ht="14.25"/>
    <row r="5543" ht="14.25"/>
    <row r="5544" ht="14.25"/>
    <row r="5545" ht="14.25"/>
    <row r="5546" ht="14.25"/>
    <row r="5547" ht="14.25"/>
    <row r="5548" ht="14.25"/>
    <row r="5549" ht="14.25"/>
    <row r="5550" ht="14.25"/>
    <row r="5551" ht="14.25"/>
    <row r="5552" ht="14.25"/>
    <row r="5553" ht="14.25"/>
    <row r="5554" ht="14.25"/>
    <row r="5555" ht="14.25"/>
    <row r="5556" ht="14.25"/>
    <row r="5557" ht="14.25"/>
    <row r="5558" ht="14.25"/>
    <row r="5559" ht="14.25"/>
    <row r="5560" ht="14.25"/>
    <row r="5561" ht="14.25"/>
    <row r="5562" ht="14.25"/>
    <row r="5563" ht="14.25"/>
    <row r="5564" ht="14.25"/>
    <row r="5565" ht="14.25"/>
    <row r="5566" ht="14.25"/>
    <row r="5567" ht="14.25"/>
    <row r="5568" ht="14.25"/>
    <row r="5569" ht="14.25"/>
    <row r="5570" ht="14.25"/>
    <row r="5571" ht="14.25"/>
    <row r="5572" ht="14.25"/>
    <row r="5573" ht="14.25"/>
    <row r="5574" ht="14.25"/>
    <row r="5575" ht="14.25"/>
    <row r="5576" ht="14.25"/>
    <row r="5577" ht="14.25"/>
    <row r="5578" ht="14.25"/>
    <row r="5579" ht="14.25"/>
    <row r="5580" ht="14.25"/>
    <row r="5581" ht="14.25"/>
    <row r="5582" ht="14.25"/>
    <row r="5583" ht="14.25"/>
    <row r="5584" ht="14.25"/>
    <row r="5585" ht="14.25"/>
    <row r="5586" ht="14.25"/>
    <row r="5587" ht="14.25"/>
    <row r="5588" ht="14.25"/>
    <row r="5589" ht="14.25"/>
    <row r="5590" ht="14.25"/>
    <row r="5591" ht="14.25"/>
    <row r="5592" ht="14.25"/>
    <row r="5593" ht="14.25"/>
    <row r="5594" ht="14.25"/>
    <row r="5595" ht="14.25"/>
    <row r="5596" ht="14.25"/>
    <row r="5597" ht="14.25"/>
    <row r="5598" ht="14.25"/>
    <row r="5599" ht="14.25"/>
    <row r="5600" ht="14.25"/>
    <row r="5601" ht="14.25"/>
    <row r="5602" ht="14.25"/>
    <row r="5603" ht="14.25"/>
    <row r="5604" ht="14.25"/>
    <row r="5605" ht="14.25"/>
    <row r="5606" ht="14.25"/>
    <row r="5607" ht="14.25"/>
    <row r="5608" ht="14.25"/>
    <row r="5609" ht="14.25"/>
    <row r="5610" ht="14.25"/>
    <row r="5611" ht="14.25"/>
    <row r="5612" ht="14.25"/>
    <row r="5613" ht="14.25"/>
    <row r="5614" ht="14.25"/>
    <row r="5615" ht="14.25"/>
    <row r="5616" ht="14.25"/>
    <row r="5617" ht="14.25"/>
    <row r="5618" ht="14.25"/>
    <row r="5619" ht="14.25"/>
    <row r="5620" ht="14.25"/>
    <row r="5621" ht="14.25"/>
    <row r="5622" ht="14.25"/>
    <row r="5623" ht="14.25"/>
    <row r="5624" ht="14.25"/>
    <row r="5625" ht="14.25"/>
    <row r="5626" ht="14.25"/>
    <row r="5627" ht="14.25"/>
    <row r="5628" ht="14.25"/>
    <row r="5629" ht="14.25"/>
    <row r="5630" ht="14.25"/>
    <row r="5631" ht="14.25"/>
    <row r="5632" ht="14.25"/>
    <row r="5633" ht="14.25"/>
    <row r="5634" ht="14.25"/>
    <row r="5635" ht="14.25"/>
    <row r="5636" ht="14.25"/>
    <row r="5637" ht="14.25"/>
    <row r="5638" ht="14.25"/>
    <row r="5639" ht="14.25"/>
    <row r="5640" ht="14.25"/>
    <row r="5641" ht="14.25"/>
    <row r="5642" ht="14.25"/>
    <row r="5643" ht="14.25"/>
    <row r="5644" ht="14.25"/>
    <row r="5645" ht="14.25"/>
    <row r="5646" ht="14.25"/>
    <row r="5647" ht="14.25"/>
    <row r="5648" ht="14.25"/>
    <row r="5649" ht="14.25"/>
    <row r="5650" ht="14.25"/>
    <row r="5651" ht="14.25"/>
    <row r="5652" ht="14.25"/>
    <row r="5653" ht="14.25"/>
    <row r="5654" ht="14.25"/>
    <row r="5655" ht="14.25"/>
    <row r="5656" ht="14.25"/>
    <row r="5657" ht="14.25"/>
    <row r="5658" ht="14.25"/>
    <row r="5659" ht="14.25"/>
    <row r="5660" ht="14.25"/>
    <row r="5661" ht="14.25"/>
    <row r="5662" ht="14.25"/>
    <row r="5663" ht="14.25"/>
    <row r="5664" ht="14.25"/>
    <row r="5665" ht="14.25"/>
    <row r="5666" ht="14.25"/>
    <row r="5667" ht="14.25"/>
    <row r="5668" ht="14.25"/>
    <row r="5669" ht="14.25"/>
    <row r="5670" ht="14.25"/>
    <row r="5671" ht="14.25"/>
    <row r="5672" ht="14.25"/>
    <row r="5673" ht="14.25"/>
    <row r="5674" ht="14.25"/>
    <row r="5675" ht="14.25"/>
    <row r="5676" ht="14.25"/>
    <row r="5677" ht="14.25"/>
    <row r="5678" ht="14.25"/>
    <row r="5679" ht="14.25"/>
    <row r="5680" ht="14.25"/>
    <row r="5681" ht="14.25"/>
    <row r="5682" ht="14.25"/>
    <row r="5683" ht="14.25"/>
    <row r="5684" ht="14.25"/>
    <row r="5685" ht="14.25"/>
    <row r="5686" ht="14.25"/>
    <row r="5687" ht="14.25"/>
    <row r="5688" ht="14.25"/>
    <row r="5689" ht="14.25"/>
    <row r="5690" ht="14.25"/>
    <row r="5691" ht="14.25"/>
    <row r="5692" ht="14.25"/>
    <row r="5693" ht="14.25"/>
    <row r="5694" ht="14.25"/>
    <row r="5695" ht="14.25"/>
    <row r="5696" ht="14.25"/>
    <row r="5697" ht="14.25"/>
    <row r="5698" ht="14.25"/>
    <row r="5699" ht="14.25"/>
    <row r="5700" ht="14.25"/>
    <row r="5701" ht="14.25"/>
    <row r="5702" ht="14.25"/>
    <row r="5703" ht="14.25"/>
    <row r="5704" ht="14.25"/>
    <row r="5705" ht="14.25"/>
    <row r="5706" ht="14.25"/>
    <row r="5707" ht="14.25"/>
    <row r="5708" ht="14.25"/>
    <row r="5709" ht="14.25"/>
    <row r="5710" ht="14.25"/>
    <row r="5711" ht="14.25"/>
    <row r="5712" ht="14.25"/>
    <row r="5713" ht="14.25"/>
    <row r="5714" ht="14.25"/>
    <row r="5715" ht="14.25"/>
    <row r="5716" ht="14.25"/>
    <row r="5717" ht="14.25"/>
    <row r="5718" ht="14.25"/>
    <row r="5719" ht="14.25"/>
    <row r="5720" ht="14.25"/>
    <row r="5721" ht="14.25"/>
    <row r="5722" ht="14.25"/>
    <row r="5723" ht="14.25"/>
    <row r="5724" ht="14.25"/>
    <row r="5725" ht="14.25"/>
    <row r="5726" ht="14.25"/>
    <row r="5727" ht="14.25"/>
    <row r="5728" ht="14.25"/>
    <row r="5729" ht="14.25"/>
    <row r="5730" ht="14.25"/>
    <row r="5731" ht="14.25"/>
    <row r="5732" ht="14.25"/>
    <row r="5733" ht="14.25"/>
    <row r="5734" ht="14.25"/>
    <row r="5735" ht="14.25"/>
    <row r="5736" ht="14.25"/>
    <row r="5737" ht="14.25"/>
    <row r="5738" ht="14.25"/>
    <row r="5739" ht="14.25"/>
    <row r="5740" ht="14.25"/>
    <row r="5741" ht="14.25"/>
    <row r="5742" ht="14.25"/>
    <row r="5743" ht="14.25"/>
    <row r="5744" ht="14.25"/>
    <row r="5745" ht="14.25"/>
    <row r="5746" ht="14.25"/>
    <row r="5747" ht="14.25"/>
    <row r="5748" ht="14.25"/>
    <row r="5749" ht="14.25"/>
    <row r="5750" ht="14.25"/>
    <row r="5751" ht="14.25"/>
    <row r="5752" ht="14.25"/>
    <row r="5753" ht="14.25"/>
    <row r="5754" ht="14.25"/>
    <row r="5755" ht="14.25"/>
    <row r="5756" ht="14.25"/>
    <row r="5757" ht="14.25"/>
    <row r="5758" ht="14.25"/>
    <row r="5759" ht="14.25"/>
    <row r="5760" ht="14.25"/>
    <row r="5761" ht="14.25"/>
    <row r="5762" ht="14.25"/>
    <row r="5763" ht="14.25"/>
    <row r="5764" ht="14.25"/>
    <row r="5765" ht="14.25"/>
    <row r="5766" ht="14.25"/>
    <row r="5767" ht="14.25"/>
    <row r="5768" ht="14.25"/>
    <row r="5769" ht="14.25"/>
    <row r="5770" ht="14.25"/>
    <row r="5771" ht="14.25"/>
    <row r="5772" ht="14.25"/>
    <row r="5773" ht="14.25"/>
    <row r="5774" ht="14.25"/>
    <row r="5775" ht="14.25"/>
    <row r="5776" ht="14.25"/>
    <row r="5777" ht="14.25"/>
    <row r="5778" ht="14.25"/>
    <row r="5779" ht="14.25"/>
    <row r="5780" ht="14.25"/>
    <row r="5781" ht="14.25"/>
    <row r="5782" ht="14.25"/>
    <row r="5783" ht="14.25"/>
    <row r="5784" ht="14.25"/>
    <row r="5785" ht="14.25"/>
    <row r="5786" ht="14.25"/>
    <row r="5787" ht="14.25"/>
    <row r="5788" ht="14.25"/>
    <row r="5789" ht="14.25"/>
    <row r="5790" ht="14.25"/>
    <row r="5791" ht="14.25"/>
    <row r="5792" ht="14.25"/>
    <row r="5793" ht="14.25"/>
    <row r="5794" ht="14.25"/>
    <row r="5795" ht="14.25"/>
    <row r="5796" ht="14.25"/>
    <row r="5797" ht="14.25"/>
    <row r="5798" ht="14.25"/>
    <row r="5799" ht="14.25"/>
    <row r="5800" ht="14.25"/>
    <row r="5801" ht="14.25"/>
    <row r="5802" ht="14.25"/>
    <row r="5803" ht="14.25"/>
    <row r="5804" ht="14.25"/>
    <row r="5805" ht="14.25"/>
    <row r="5806" ht="14.25"/>
    <row r="5807" ht="14.25"/>
    <row r="5808" ht="14.25"/>
    <row r="5809" ht="14.25"/>
    <row r="5810" ht="14.25"/>
    <row r="5811" ht="14.25"/>
    <row r="5812" ht="14.25"/>
    <row r="5813" ht="14.25"/>
    <row r="5814" ht="14.25"/>
    <row r="5815" ht="14.25"/>
    <row r="5816" ht="14.25"/>
    <row r="5817" ht="14.25"/>
    <row r="5818" ht="14.25"/>
    <row r="5819" ht="14.25"/>
    <row r="5820" ht="14.25"/>
    <row r="5821" ht="14.25"/>
    <row r="5822" ht="14.25"/>
    <row r="5823" ht="14.25"/>
    <row r="5824" ht="14.25"/>
    <row r="5825" ht="14.25"/>
    <row r="5826" ht="14.25"/>
    <row r="5827" ht="14.25"/>
    <row r="5828" ht="14.25"/>
    <row r="5829" ht="14.25"/>
    <row r="5830" ht="14.25"/>
    <row r="5831" ht="14.25"/>
    <row r="5832" ht="14.25"/>
    <row r="5833" ht="14.25"/>
    <row r="5834" ht="14.25"/>
    <row r="5835" ht="14.25"/>
    <row r="5836" ht="14.25"/>
    <row r="5837" ht="14.25"/>
    <row r="5838" ht="14.25"/>
    <row r="5839" ht="14.25"/>
    <row r="5840" ht="14.25"/>
    <row r="5841" ht="14.25"/>
    <row r="5842" ht="14.25"/>
    <row r="5843" ht="14.25"/>
    <row r="5844" ht="14.25"/>
    <row r="5845" ht="14.25"/>
    <row r="5846" ht="14.25"/>
    <row r="5847" ht="14.25"/>
    <row r="5848" ht="14.25"/>
    <row r="5849" ht="14.25"/>
    <row r="5850" ht="14.25"/>
    <row r="5851" ht="14.25"/>
    <row r="5852" ht="14.25"/>
    <row r="5853" ht="14.25"/>
    <row r="5854" ht="14.25"/>
    <row r="5855" ht="14.25"/>
    <row r="5856" ht="14.25"/>
    <row r="5857" ht="14.25"/>
    <row r="5858" ht="14.25"/>
    <row r="5859" ht="14.25"/>
    <row r="5860" ht="14.25"/>
    <row r="5861" ht="14.25"/>
    <row r="5862" ht="14.25"/>
    <row r="5863" ht="14.25"/>
    <row r="5864" ht="14.25"/>
    <row r="5865" ht="14.25"/>
    <row r="5866" ht="14.25"/>
    <row r="5867" ht="14.25"/>
    <row r="5868" ht="14.25"/>
    <row r="5869" ht="14.25"/>
    <row r="5870" ht="14.25"/>
    <row r="5871" ht="14.25"/>
    <row r="5872" ht="14.25"/>
    <row r="5873" ht="14.25"/>
    <row r="5874" ht="14.25"/>
    <row r="5875" ht="14.25"/>
    <row r="5876" ht="14.25"/>
    <row r="5877" ht="14.25"/>
    <row r="5878" ht="14.25"/>
    <row r="5879" ht="14.25"/>
    <row r="5880" ht="14.25"/>
    <row r="5881" ht="14.25"/>
    <row r="5882" ht="14.25"/>
    <row r="5883" ht="14.25"/>
    <row r="5884" ht="14.25"/>
    <row r="5885" ht="14.25"/>
    <row r="5886" ht="14.25"/>
    <row r="5887" ht="14.25"/>
    <row r="5888" ht="14.25"/>
    <row r="5889" ht="14.25"/>
    <row r="5890" ht="14.25"/>
    <row r="5891" ht="14.25"/>
    <row r="5892" ht="14.25"/>
    <row r="5893" ht="14.25"/>
    <row r="5894" ht="14.25"/>
    <row r="5895" ht="14.25"/>
    <row r="5896" ht="14.25"/>
    <row r="5897" ht="14.25"/>
    <row r="5898" ht="14.25"/>
    <row r="5899" ht="14.25"/>
    <row r="5900" ht="14.25"/>
    <row r="5901" ht="14.25"/>
    <row r="5902" ht="14.25"/>
    <row r="5903" ht="14.25"/>
    <row r="5904" ht="14.25"/>
    <row r="5905" ht="14.25"/>
    <row r="5906" ht="14.25"/>
    <row r="5907" ht="14.25"/>
    <row r="5908" ht="14.25"/>
    <row r="5909" ht="14.25"/>
    <row r="5910" ht="14.25"/>
    <row r="5911" ht="14.25"/>
    <row r="5912" ht="14.25"/>
    <row r="5913" ht="14.25"/>
    <row r="5914" ht="14.25"/>
    <row r="5915" ht="14.25"/>
    <row r="5916" ht="14.25"/>
    <row r="5917" ht="14.25"/>
    <row r="5918" ht="14.25"/>
    <row r="5919" ht="14.25"/>
    <row r="5920" ht="14.25"/>
    <row r="5921" ht="14.25"/>
    <row r="5922" ht="14.25"/>
    <row r="5923" ht="14.25"/>
    <row r="5924" ht="14.25"/>
    <row r="5925" ht="14.25"/>
    <row r="5926" ht="14.25"/>
    <row r="5927" ht="14.25"/>
    <row r="5928" ht="14.25"/>
    <row r="5929" ht="14.25"/>
    <row r="5930" ht="14.25"/>
    <row r="5931" ht="14.25"/>
    <row r="5932" ht="14.25"/>
    <row r="5933" ht="14.25"/>
    <row r="5934" ht="14.25"/>
    <row r="5935" ht="14.25"/>
    <row r="5936" ht="14.25"/>
    <row r="5937" ht="14.25"/>
    <row r="5938" ht="14.25"/>
    <row r="5939" ht="14.25"/>
    <row r="5940" ht="14.25"/>
    <row r="5941" ht="14.25"/>
    <row r="5942" ht="14.25"/>
    <row r="5943" ht="14.25"/>
    <row r="5944" ht="14.25"/>
    <row r="5945" ht="14.25"/>
    <row r="5946" ht="14.25"/>
    <row r="5947" ht="14.25"/>
    <row r="5948" ht="14.25"/>
    <row r="5949" ht="14.25"/>
    <row r="5950" ht="14.25"/>
    <row r="5951" ht="14.25"/>
    <row r="5952" ht="14.25"/>
    <row r="5953" ht="14.25"/>
    <row r="5954" ht="14.25"/>
    <row r="5955" ht="14.25"/>
    <row r="5956" ht="14.25"/>
    <row r="5957" ht="14.25"/>
    <row r="5958" ht="14.25"/>
    <row r="5959" ht="14.25"/>
    <row r="5960" ht="14.25"/>
    <row r="5961" ht="14.25"/>
    <row r="5962" ht="14.25"/>
    <row r="5963" ht="14.25"/>
    <row r="5964" ht="14.25"/>
    <row r="5965" ht="14.25"/>
    <row r="5966" ht="14.25"/>
    <row r="5967" ht="14.25"/>
    <row r="5968" ht="14.25"/>
    <row r="5969" ht="14.25"/>
    <row r="5970" ht="14.25"/>
    <row r="5971" ht="14.25"/>
    <row r="5972" ht="14.25"/>
    <row r="5973" ht="14.25"/>
    <row r="5974" ht="14.25"/>
    <row r="5975" ht="14.25"/>
    <row r="5976" ht="14.25"/>
    <row r="5977" ht="14.25"/>
    <row r="5978" ht="14.25"/>
    <row r="5979" ht="14.25"/>
    <row r="5980" ht="14.25"/>
    <row r="5981" ht="14.25"/>
    <row r="5982" ht="14.25"/>
    <row r="5983" ht="14.25"/>
    <row r="5984" ht="14.25"/>
    <row r="5985" ht="14.25"/>
    <row r="5986" ht="14.25"/>
    <row r="5987" ht="14.25"/>
    <row r="5988" ht="14.25"/>
    <row r="5989" ht="14.25"/>
    <row r="5990" ht="14.25"/>
    <row r="5991" ht="14.25"/>
    <row r="5992" ht="14.25"/>
    <row r="5993" ht="14.25"/>
    <row r="5994" ht="14.25"/>
    <row r="5995" ht="14.25"/>
    <row r="5996" ht="14.25"/>
    <row r="5997" ht="14.25"/>
    <row r="5998" ht="14.25"/>
    <row r="5999" ht="14.25"/>
    <row r="6000" ht="14.25"/>
    <row r="6001" ht="14.25"/>
    <row r="6002" ht="14.25"/>
    <row r="6003" ht="14.25"/>
    <row r="6004" ht="14.25"/>
    <row r="6005" ht="14.25"/>
    <row r="6006" ht="14.25"/>
    <row r="6007" ht="14.25"/>
    <row r="6008" ht="14.25"/>
    <row r="6009" ht="14.25"/>
    <row r="6010" ht="14.25"/>
    <row r="6011" ht="14.25"/>
    <row r="6012" ht="14.25"/>
    <row r="6013" ht="14.25"/>
    <row r="6014" ht="14.25"/>
    <row r="6015" ht="14.25"/>
    <row r="6016" ht="14.25"/>
    <row r="6017" ht="14.25"/>
    <row r="6018" ht="14.25"/>
    <row r="6019" ht="14.25"/>
    <row r="6020" ht="14.25"/>
    <row r="6021" ht="14.25"/>
    <row r="6022" ht="14.25"/>
    <row r="6023" ht="14.25"/>
    <row r="6024" ht="14.25"/>
    <row r="6025" ht="14.25"/>
    <row r="6026" ht="14.25"/>
    <row r="6027" ht="14.25"/>
    <row r="6028" ht="14.25"/>
    <row r="6029" ht="14.25"/>
    <row r="6030" ht="14.25"/>
    <row r="6031" ht="14.25"/>
    <row r="6032" ht="14.25"/>
    <row r="6033" ht="14.25"/>
    <row r="6034" ht="14.25"/>
    <row r="6035" ht="14.25"/>
    <row r="6036" ht="14.25"/>
    <row r="6037" ht="14.25"/>
    <row r="6038" ht="14.25"/>
    <row r="6039" ht="14.25"/>
    <row r="6040" ht="14.25"/>
    <row r="6041" ht="14.25"/>
    <row r="6042" ht="14.25"/>
    <row r="6043" ht="14.25"/>
    <row r="6044" ht="14.25"/>
    <row r="6045" ht="14.25"/>
    <row r="6046" ht="14.25"/>
    <row r="6047" ht="14.25"/>
    <row r="6048" ht="14.25"/>
    <row r="6049" ht="14.25"/>
    <row r="6050" ht="14.25"/>
    <row r="6051" ht="14.25"/>
    <row r="6052" ht="14.25"/>
    <row r="6053" ht="14.25"/>
    <row r="6054" ht="14.25"/>
    <row r="6055" ht="14.25"/>
    <row r="6056" ht="14.25"/>
    <row r="6057" ht="14.25"/>
    <row r="6058" ht="14.25"/>
    <row r="6059" ht="14.25"/>
    <row r="6060" ht="14.25"/>
    <row r="6061" ht="14.25"/>
    <row r="6062" ht="14.25"/>
    <row r="6063" ht="14.25"/>
    <row r="6064" ht="14.25"/>
    <row r="6065" ht="14.25"/>
    <row r="6066" ht="14.25"/>
    <row r="6067" ht="14.25"/>
    <row r="6068" ht="14.25"/>
    <row r="6069" ht="14.25"/>
    <row r="6070" ht="14.25"/>
    <row r="6071" ht="14.25"/>
    <row r="6072" ht="14.25"/>
    <row r="6073" ht="14.25"/>
    <row r="6074" ht="14.25"/>
    <row r="6075" ht="14.25"/>
    <row r="6076" ht="14.25"/>
    <row r="6077" ht="14.25"/>
    <row r="6078" ht="14.25"/>
    <row r="6079" ht="14.25"/>
    <row r="6080" ht="14.25"/>
    <row r="6081" ht="14.25"/>
    <row r="6082" ht="14.25"/>
    <row r="6083" ht="14.25"/>
    <row r="6084" ht="14.25"/>
    <row r="6085" ht="14.25"/>
    <row r="6086" ht="14.25"/>
    <row r="6087" ht="14.25"/>
    <row r="6088" ht="14.25"/>
    <row r="6089" ht="14.25"/>
    <row r="6090" ht="14.25"/>
    <row r="6091" ht="14.25"/>
    <row r="6092" ht="14.25"/>
    <row r="6093" ht="14.25"/>
    <row r="6094" ht="14.25"/>
    <row r="6095" ht="14.25"/>
    <row r="6096" ht="14.25"/>
    <row r="6097" ht="14.25"/>
    <row r="6098" ht="14.25"/>
    <row r="6099" ht="14.25"/>
    <row r="6100" ht="14.25"/>
    <row r="6101" ht="14.25"/>
    <row r="6102" ht="14.25"/>
    <row r="6103" ht="14.25"/>
    <row r="6104" ht="14.25"/>
    <row r="6105" ht="14.25"/>
    <row r="6106" ht="14.25"/>
    <row r="6107" ht="14.25"/>
    <row r="6108" ht="14.25"/>
    <row r="6109" ht="14.25"/>
    <row r="6110" ht="14.25"/>
    <row r="6111" ht="14.25"/>
    <row r="6112" ht="14.25"/>
    <row r="6113" ht="14.25"/>
    <row r="6114" ht="14.25"/>
    <row r="6115" ht="14.25"/>
    <row r="6116" ht="14.25"/>
    <row r="6117" ht="14.25"/>
    <row r="6118" ht="14.25"/>
    <row r="6119" ht="14.25"/>
    <row r="6120" ht="14.25"/>
    <row r="6121" ht="14.25"/>
    <row r="6122" ht="14.25"/>
    <row r="6123" ht="14.25"/>
    <row r="6124" ht="14.25"/>
    <row r="6125" ht="14.25"/>
    <row r="6126" ht="14.25"/>
    <row r="6127" ht="14.25"/>
    <row r="6128" ht="14.25"/>
    <row r="6129" ht="14.25"/>
    <row r="6130" ht="14.25"/>
    <row r="6131" ht="14.25"/>
    <row r="6132" ht="14.25"/>
    <row r="6133" ht="14.25"/>
    <row r="6134" ht="14.25"/>
    <row r="6135" ht="14.25"/>
    <row r="6136" ht="14.25"/>
    <row r="6137" ht="14.25"/>
    <row r="6138" ht="14.25"/>
    <row r="6139" ht="14.25"/>
    <row r="6140" ht="14.25"/>
    <row r="6141" ht="14.25"/>
    <row r="6142" ht="14.25"/>
    <row r="6143" ht="14.25"/>
    <row r="6144" ht="14.25"/>
    <row r="6145" ht="14.25"/>
    <row r="6146" ht="14.25"/>
    <row r="6147" ht="14.25"/>
    <row r="6148" ht="14.25"/>
    <row r="6149" ht="14.25"/>
    <row r="6150" ht="14.25"/>
    <row r="6151" ht="14.25"/>
    <row r="6152" ht="14.25"/>
    <row r="6153" ht="14.25"/>
    <row r="6154" ht="14.25"/>
    <row r="6155" ht="14.25"/>
    <row r="6156" ht="14.25"/>
    <row r="6157" ht="14.25"/>
    <row r="6158" ht="14.25"/>
    <row r="6159" ht="14.25"/>
    <row r="6160" ht="14.25"/>
    <row r="6161" ht="14.25"/>
    <row r="6162" ht="14.25"/>
    <row r="6163" ht="14.25"/>
    <row r="6164" ht="14.25"/>
    <row r="6165" ht="14.25"/>
    <row r="6166" ht="14.25"/>
    <row r="6167" ht="14.25"/>
    <row r="6168" ht="14.25"/>
    <row r="6169" ht="14.25"/>
    <row r="6170" ht="14.25"/>
    <row r="6171" ht="14.25"/>
    <row r="6172" ht="14.25"/>
    <row r="6173" ht="14.25"/>
    <row r="6174" ht="14.25"/>
    <row r="6175" ht="14.25"/>
    <row r="6176" ht="14.25"/>
    <row r="6177" ht="14.25"/>
    <row r="6178" ht="14.25"/>
    <row r="6179" ht="14.25"/>
    <row r="6180" ht="14.25"/>
    <row r="6181" ht="14.25"/>
    <row r="6182" ht="14.25"/>
    <row r="6183" ht="14.25"/>
    <row r="6184" ht="14.25"/>
    <row r="6185" ht="14.25"/>
    <row r="6186" ht="14.25"/>
    <row r="6187" ht="14.25"/>
    <row r="6188" ht="14.25"/>
    <row r="6189" ht="14.25"/>
    <row r="6190" ht="14.25"/>
    <row r="6191" ht="14.25"/>
    <row r="6192" ht="14.25"/>
    <row r="6193" ht="14.25"/>
    <row r="6194" ht="14.25"/>
    <row r="6195" ht="14.25"/>
    <row r="6196" ht="14.25"/>
    <row r="6197" ht="14.25"/>
    <row r="6198" ht="14.25"/>
    <row r="6199" ht="14.25"/>
    <row r="6200" ht="14.25"/>
    <row r="6201" ht="14.25"/>
    <row r="6202" ht="14.25"/>
    <row r="6203" ht="14.25"/>
    <row r="6204" ht="14.25"/>
    <row r="6205" ht="14.25"/>
    <row r="6206" ht="14.25"/>
    <row r="6207" ht="14.25"/>
    <row r="6208" ht="14.25"/>
    <row r="6209" ht="14.25"/>
    <row r="6210" ht="14.25"/>
    <row r="6211" ht="14.25"/>
    <row r="6212" ht="14.25"/>
    <row r="6213" ht="14.25"/>
    <row r="6214" ht="14.25"/>
    <row r="6215" ht="14.25"/>
    <row r="6216" ht="14.25"/>
    <row r="6217" ht="14.25"/>
    <row r="6218" ht="14.25"/>
    <row r="6219" ht="14.25"/>
    <row r="6220" ht="14.25"/>
    <row r="6221" ht="14.25"/>
    <row r="6222" ht="14.25"/>
    <row r="6223" ht="14.25"/>
    <row r="6224" ht="14.25"/>
    <row r="6225" ht="14.25"/>
    <row r="6226" ht="14.25"/>
    <row r="6227" ht="14.25"/>
    <row r="6228" ht="14.25"/>
    <row r="6229" ht="14.25"/>
    <row r="6230" ht="14.25"/>
    <row r="6231" ht="14.25"/>
    <row r="6232" ht="14.25"/>
    <row r="6233" ht="14.25"/>
    <row r="6234" ht="14.25"/>
    <row r="6235" ht="14.25"/>
    <row r="6236" ht="14.25"/>
    <row r="6237" ht="14.25"/>
    <row r="6238" ht="14.25"/>
    <row r="6239" ht="14.25"/>
    <row r="6240" ht="14.25"/>
    <row r="6241" ht="14.25"/>
    <row r="6242" ht="14.25"/>
    <row r="6243" ht="14.25"/>
    <row r="6244" ht="14.25"/>
    <row r="6245" ht="14.25"/>
    <row r="6246" ht="14.25"/>
    <row r="6247" ht="14.25"/>
    <row r="6248" ht="14.25"/>
    <row r="6249" ht="14.25"/>
    <row r="6250" ht="14.25"/>
    <row r="6251" ht="14.25"/>
    <row r="6252" ht="14.25"/>
    <row r="6253" ht="14.25"/>
    <row r="6254" ht="14.25"/>
    <row r="6255" ht="14.25"/>
    <row r="6256" ht="14.25"/>
    <row r="6257" ht="14.25"/>
    <row r="6258" ht="14.25"/>
    <row r="6259" ht="14.25"/>
    <row r="6260" ht="14.25"/>
    <row r="6261" ht="14.25"/>
    <row r="6262" ht="14.25"/>
    <row r="6263" ht="14.25"/>
    <row r="6264" ht="14.25"/>
    <row r="6265" ht="14.25"/>
    <row r="6266" ht="14.25"/>
    <row r="6267" ht="14.25"/>
    <row r="6268" ht="14.25"/>
    <row r="6269" ht="14.25"/>
    <row r="6270" ht="14.25"/>
    <row r="6271" ht="14.25"/>
    <row r="6272" ht="14.25"/>
    <row r="6273" ht="14.25"/>
    <row r="6274" ht="14.25"/>
    <row r="6275" ht="14.25"/>
    <row r="6276" ht="14.25"/>
    <row r="6277" ht="14.25"/>
    <row r="6278" ht="14.25"/>
    <row r="6279" ht="14.25"/>
    <row r="6280" ht="14.25"/>
    <row r="6281" ht="14.25"/>
    <row r="6282" ht="14.25"/>
    <row r="6283" ht="14.25"/>
    <row r="6284" ht="14.25"/>
    <row r="6285" ht="14.25"/>
    <row r="6286" ht="14.25"/>
    <row r="6287" ht="14.25"/>
    <row r="6288" ht="14.25"/>
    <row r="6289" ht="14.25"/>
    <row r="6290" ht="14.25"/>
    <row r="6291" ht="14.25"/>
    <row r="6292" ht="14.25"/>
    <row r="6293" ht="14.25"/>
    <row r="6294" ht="14.25"/>
    <row r="6295" ht="14.25"/>
    <row r="6296" ht="14.25"/>
    <row r="6297" ht="14.25"/>
    <row r="6298" ht="14.25"/>
    <row r="6299" ht="14.25"/>
    <row r="6300" ht="14.25"/>
    <row r="6301" ht="14.25"/>
    <row r="6302" ht="14.25"/>
    <row r="6303" ht="14.25"/>
    <row r="6304" ht="14.25"/>
    <row r="6305" ht="14.25"/>
    <row r="6306" ht="14.25"/>
    <row r="6307" ht="14.25"/>
    <row r="6308" ht="14.25"/>
    <row r="6309" ht="14.25"/>
    <row r="6310" ht="14.25"/>
    <row r="6311" ht="14.25"/>
    <row r="6312" ht="14.25"/>
    <row r="6313" ht="14.25"/>
    <row r="6314" ht="14.25"/>
    <row r="6315" ht="14.25"/>
    <row r="6316" ht="14.25"/>
    <row r="6317" ht="14.25"/>
    <row r="6318" ht="14.25"/>
    <row r="6319" ht="14.25"/>
    <row r="6320" ht="14.25"/>
    <row r="6321" ht="14.25"/>
    <row r="6322" ht="14.25"/>
    <row r="6323" ht="14.25"/>
    <row r="6324" ht="14.25"/>
    <row r="6325" ht="14.25"/>
    <row r="6326" ht="14.25"/>
    <row r="6327" ht="14.25"/>
    <row r="6328" ht="14.25"/>
    <row r="6329" ht="14.25"/>
    <row r="6330" ht="14.25"/>
    <row r="6331" ht="14.25"/>
    <row r="6332" ht="14.25"/>
    <row r="6333" ht="14.25"/>
    <row r="6334" ht="14.25"/>
    <row r="6335" ht="14.25"/>
    <row r="6336" ht="14.25"/>
    <row r="6337" ht="14.25"/>
    <row r="6338" ht="14.25"/>
    <row r="6339" ht="14.25"/>
    <row r="6340" ht="14.25"/>
    <row r="6341" ht="14.25"/>
    <row r="6342" ht="14.25"/>
    <row r="6343" ht="14.25"/>
    <row r="6344" ht="14.25"/>
    <row r="6345" ht="14.25"/>
    <row r="6346" ht="14.25"/>
    <row r="6347" ht="14.25"/>
    <row r="6348" ht="14.25"/>
    <row r="6349" ht="14.25"/>
    <row r="6350" ht="14.25"/>
    <row r="6351" ht="14.25"/>
    <row r="6352" ht="14.25"/>
    <row r="6353" ht="14.25"/>
    <row r="6354" ht="14.25"/>
    <row r="6355" ht="14.25"/>
    <row r="6356" ht="14.25"/>
    <row r="6357" ht="14.25"/>
    <row r="6358" ht="14.25"/>
    <row r="6359" ht="14.25"/>
    <row r="6360" ht="14.25"/>
    <row r="6361" ht="14.25"/>
    <row r="6362" ht="14.25"/>
    <row r="6363" ht="14.25"/>
    <row r="6364" ht="14.25"/>
    <row r="6365" ht="14.25"/>
    <row r="6366" ht="14.25"/>
    <row r="6367" ht="14.25"/>
    <row r="6368" ht="14.25"/>
    <row r="6369" ht="14.25"/>
    <row r="6370" ht="14.25"/>
    <row r="6371" ht="14.25"/>
    <row r="6372" ht="14.25"/>
    <row r="6373" ht="14.25"/>
    <row r="6374" ht="14.25"/>
    <row r="6375" ht="14.25"/>
    <row r="6376" ht="14.25"/>
    <row r="6377" ht="14.25"/>
    <row r="6378" ht="14.25"/>
    <row r="6379" ht="14.25"/>
    <row r="6380" ht="14.25"/>
    <row r="6381" ht="14.25"/>
    <row r="6382" ht="14.25"/>
    <row r="6383" ht="14.25"/>
    <row r="6384" ht="14.25"/>
    <row r="6385" ht="14.25"/>
    <row r="6386" ht="14.25"/>
    <row r="6387" ht="14.25"/>
    <row r="6388" ht="14.25"/>
    <row r="6389" ht="14.25"/>
    <row r="6390" ht="14.25"/>
    <row r="6391" ht="14.25"/>
    <row r="6392" ht="14.25"/>
    <row r="6393" ht="14.25"/>
    <row r="6394" ht="14.25"/>
    <row r="6395" ht="14.25"/>
    <row r="6396" ht="14.25"/>
    <row r="6397" ht="14.25"/>
    <row r="6398" ht="14.25"/>
    <row r="6399" ht="14.25"/>
    <row r="6400" ht="14.25"/>
    <row r="6401" ht="14.25"/>
    <row r="6402" ht="14.25"/>
    <row r="6403" ht="14.25"/>
    <row r="6404" ht="14.25"/>
    <row r="6405" ht="14.25"/>
    <row r="6406" ht="14.25"/>
    <row r="6407" ht="14.25"/>
    <row r="6408" ht="14.25"/>
    <row r="6409" ht="14.25"/>
    <row r="6410" ht="14.25"/>
    <row r="6411" ht="14.25"/>
    <row r="6412" ht="14.25"/>
    <row r="6413" ht="14.25"/>
    <row r="6414" ht="14.25"/>
    <row r="6415" ht="14.25"/>
    <row r="6416" ht="14.25"/>
    <row r="6417" ht="14.25"/>
    <row r="6418" ht="14.25"/>
    <row r="6419" ht="14.25"/>
    <row r="6420" ht="14.25"/>
    <row r="6421" ht="14.25"/>
    <row r="6422" ht="14.25"/>
    <row r="6423" ht="14.25"/>
    <row r="6424" ht="14.25"/>
    <row r="6425" ht="14.25"/>
    <row r="6426" ht="14.25"/>
    <row r="6427" ht="14.25"/>
    <row r="6428" ht="14.25"/>
    <row r="6429" ht="14.25"/>
    <row r="6430" ht="14.25"/>
    <row r="6431" ht="14.25"/>
    <row r="6432" ht="14.25"/>
    <row r="6433" ht="14.25"/>
    <row r="6434" ht="14.25"/>
    <row r="6435" ht="14.25"/>
    <row r="6436" ht="14.25"/>
    <row r="6437" ht="14.25"/>
    <row r="6438" ht="14.25"/>
    <row r="6439" ht="14.25"/>
    <row r="6440" ht="14.25"/>
    <row r="6441" ht="14.25"/>
    <row r="6442" ht="14.25"/>
    <row r="6443" ht="14.25"/>
    <row r="6444" ht="14.25"/>
    <row r="6445" ht="14.25"/>
    <row r="6446" ht="14.25"/>
    <row r="6447" ht="14.25"/>
    <row r="6448" ht="14.25"/>
    <row r="6449" ht="14.25"/>
    <row r="6450" ht="14.25"/>
    <row r="6451" ht="14.25"/>
    <row r="6452" ht="14.25"/>
    <row r="6453" ht="14.25"/>
    <row r="6454" ht="14.25"/>
    <row r="6455" ht="14.25"/>
    <row r="6456" ht="14.25"/>
    <row r="6457" ht="14.25"/>
    <row r="6458" ht="14.25"/>
    <row r="6459" ht="14.25"/>
    <row r="6460" ht="14.25"/>
    <row r="6461" ht="14.25"/>
    <row r="6462" ht="14.25"/>
    <row r="6463" ht="14.25"/>
    <row r="6464" ht="14.25"/>
    <row r="6465" ht="14.25"/>
    <row r="6466" ht="14.25"/>
    <row r="6467" ht="14.25"/>
    <row r="6468" ht="14.25"/>
    <row r="6469" ht="14.25"/>
    <row r="6470" ht="14.25"/>
    <row r="6471" ht="14.25"/>
    <row r="6472" ht="14.25"/>
    <row r="6473" ht="14.25"/>
    <row r="6474" ht="14.25"/>
    <row r="6475" ht="14.25"/>
    <row r="6476" ht="14.25"/>
    <row r="6477" ht="14.25"/>
    <row r="6478" ht="14.25"/>
    <row r="6479" ht="14.25"/>
    <row r="6480" ht="14.25"/>
    <row r="6481" ht="14.25"/>
    <row r="6482" ht="14.25"/>
    <row r="6483" ht="14.25"/>
    <row r="6484" ht="14.25"/>
    <row r="6485" ht="14.25"/>
    <row r="6486" ht="14.25"/>
    <row r="6487" ht="14.25"/>
    <row r="6488" ht="14.25"/>
    <row r="6489" ht="14.25"/>
    <row r="6490" ht="14.25"/>
    <row r="6491" ht="14.25"/>
    <row r="6492" ht="14.25"/>
    <row r="6493" ht="14.25"/>
    <row r="6494" ht="14.25"/>
    <row r="6495" ht="14.25"/>
    <row r="6496" ht="14.25"/>
    <row r="6497" ht="14.25"/>
    <row r="6498" ht="14.25"/>
    <row r="6499" ht="14.25"/>
    <row r="6500" ht="14.25"/>
    <row r="6501" ht="14.25"/>
    <row r="6502" ht="14.25"/>
    <row r="6503" ht="14.25"/>
    <row r="6504" ht="14.25"/>
    <row r="6505" ht="14.25"/>
    <row r="6506" ht="14.25"/>
    <row r="6507" ht="14.25"/>
    <row r="6508" ht="14.25"/>
    <row r="6509" ht="14.25"/>
    <row r="6510" ht="14.25"/>
    <row r="6511" ht="14.25"/>
    <row r="6512" ht="14.25"/>
    <row r="6513" ht="14.25"/>
    <row r="6514" ht="14.25"/>
    <row r="6515" ht="14.25"/>
    <row r="6516" ht="14.25"/>
    <row r="6517" ht="14.25"/>
    <row r="6518" ht="14.25"/>
    <row r="6519" ht="14.25"/>
    <row r="6520" ht="14.25"/>
    <row r="6521" ht="14.25"/>
    <row r="6522" ht="14.25"/>
    <row r="6523" ht="14.25"/>
    <row r="6524" ht="14.25"/>
    <row r="6525" ht="14.25"/>
    <row r="6526" ht="14.25"/>
    <row r="6527" ht="14.25"/>
    <row r="6528" ht="14.25"/>
    <row r="6529" ht="14.25"/>
    <row r="6530" ht="14.25"/>
    <row r="6531" ht="14.25"/>
    <row r="6532" ht="14.25"/>
    <row r="6533" ht="14.25"/>
    <row r="6534" ht="14.25"/>
    <row r="6535" ht="14.25"/>
    <row r="6536" ht="14.25"/>
    <row r="6537" ht="14.25"/>
    <row r="6538" ht="14.25"/>
    <row r="6539" ht="14.25"/>
    <row r="6540" ht="14.25"/>
    <row r="6541" ht="14.25"/>
    <row r="6542" ht="14.25"/>
    <row r="6543" ht="14.25"/>
    <row r="6544" ht="14.25"/>
    <row r="6545" ht="14.25"/>
    <row r="6546" ht="14.25"/>
    <row r="6547" ht="14.25"/>
    <row r="6548" ht="14.25"/>
    <row r="6549" ht="14.25"/>
    <row r="6550" ht="14.25"/>
    <row r="6551" ht="14.25"/>
    <row r="6552" ht="14.25"/>
    <row r="6553" ht="14.25"/>
    <row r="6554" ht="14.25"/>
    <row r="6555" ht="14.25"/>
    <row r="6556" ht="14.25"/>
    <row r="6557" ht="14.25"/>
    <row r="6558" ht="14.25"/>
    <row r="6559" ht="14.25"/>
    <row r="6560" ht="14.25"/>
    <row r="6561" ht="14.25"/>
    <row r="6562" ht="14.25"/>
    <row r="6563" ht="14.25"/>
    <row r="6564" ht="14.25"/>
    <row r="6565" ht="14.25"/>
    <row r="6566" ht="14.25"/>
    <row r="6567" ht="14.25"/>
    <row r="6568" ht="14.25"/>
    <row r="6569" ht="14.25"/>
    <row r="6570" ht="14.25"/>
    <row r="6571" ht="14.25"/>
    <row r="6572" ht="14.25"/>
    <row r="6573" ht="14.25"/>
    <row r="6574" ht="14.25"/>
    <row r="6575" ht="14.25"/>
    <row r="6576" ht="14.25"/>
    <row r="6577" ht="14.25"/>
    <row r="6578" ht="14.25"/>
    <row r="6579" ht="14.25"/>
    <row r="6580" ht="14.25"/>
    <row r="6581" ht="14.25"/>
    <row r="6582" ht="14.25"/>
    <row r="6583" ht="14.25"/>
    <row r="6584" ht="14.25"/>
    <row r="6585" ht="14.25"/>
    <row r="6586" ht="14.25"/>
    <row r="6587" ht="14.25"/>
    <row r="6588" ht="14.25"/>
    <row r="6589" ht="14.25"/>
    <row r="6590" ht="14.25"/>
    <row r="6591" ht="14.25"/>
    <row r="6592" ht="14.25"/>
    <row r="6593" ht="14.25"/>
    <row r="6594" ht="14.25"/>
    <row r="6595" ht="14.25"/>
    <row r="6596" ht="14.25"/>
    <row r="6597" ht="14.25"/>
    <row r="6598" ht="14.25"/>
    <row r="6599" ht="14.25"/>
    <row r="6600" ht="14.25"/>
    <row r="6601" ht="14.25"/>
    <row r="6602" ht="14.25"/>
    <row r="6603" ht="14.25"/>
    <row r="6604" ht="14.25"/>
    <row r="6605" ht="14.25"/>
    <row r="6606" ht="14.25"/>
    <row r="6607" ht="14.25"/>
    <row r="6608" ht="14.25"/>
    <row r="6609" ht="14.25"/>
    <row r="6610" ht="14.25"/>
    <row r="6611" ht="14.25"/>
    <row r="6612" ht="14.25"/>
    <row r="6613" ht="14.25"/>
    <row r="6614" ht="14.25"/>
    <row r="6615" ht="14.25"/>
    <row r="6616" ht="14.25"/>
    <row r="6617" ht="14.25"/>
    <row r="6618" ht="14.25"/>
    <row r="6619" ht="14.25"/>
    <row r="6620" ht="14.25"/>
    <row r="6621" ht="14.25"/>
    <row r="6622" ht="14.25"/>
    <row r="6623" ht="14.25"/>
    <row r="6624" ht="14.25"/>
    <row r="6625" ht="14.25"/>
    <row r="6626" ht="14.25"/>
    <row r="6627" ht="14.25"/>
    <row r="6628" ht="14.25"/>
    <row r="6629" ht="14.25"/>
    <row r="6630" ht="14.25"/>
    <row r="6631" ht="14.25"/>
    <row r="6632" ht="14.25"/>
    <row r="6633" ht="14.25"/>
    <row r="6634" ht="14.25"/>
    <row r="6635" ht="14.25"/>
    <row r="6636" ht="14.25"/>
    <row r="6637" ht="14.25"/>
    <row r="6638" ht="14.25"/>
    <row r="6639" ht="14.25"/>
    <row r="6640" ht="14.25"/>
    <row r="6641" ht="14.25"/>
    <row r="6642" ht="14.25"/>
    <row r="6643" ht="14.25"/>
    <row r="6644" ht="14.25"/>
    <row r="6645" ht="14.25"/>
    <row r="6646" ht="14.25"/>
    <row r="6647" ht="14.25"/>
    <row r="6648" ht="14.25"/>
    <row r="6649" ht="14.25"/>
    <row r="6650" ht="14.25"/>
    <row r="6651" ht="14.25"/>
    <row r="6652" ht="14.25"/>
    <row r="6653" ht="14.25"/>
    <row r="6654" ht="14.25"/>
    <row r="6655" ht="14.25"/>
    <row r="6656" ht="14.25"/>
    <row r="6657" ht="14.25"/>
    <row r="6658" ht="14.25"/>
    <row r="6659" ht="14.25"/>
    <row r="6660" ht="14.25"/>
    <row r="6661" ht="14.25"/>
    <row r="6662" ht="14.25"/>
    <row r="6663" ht="14.25"/>
    <row r="6664" ht="14.25"/>
    <row r="6665" ht="14.25"/>
    <row r="6666" ht="14.25"/>
    <row r="6667" ht="14.25"/>
    <row r="6668" ht="14.25"/>
    <row r="6669" ht="14.25"/>
    <row r="6670" ht="14.25"/>
    <row r="6671" ht="14.25"/>
    <row r="6672" ht="14.25"/>
    <row r="6673" ht="14.25"/>
    <row r="6674" ht="14.25"/>
    <row r="6675" ht="14.25"/>
    <row r="6676" ht="14.25"/>
    <row r="6677" ht="14.25"/>
    <row r="6678" ht="14.25"/>
    <row r="6679" ht="14.25"/>
    <row r="6680" ht="14.25"/>
    <row r="6681" ht="14.25"/>
    <row r="6682" ht="14.25"/>
    <row r="6683" ht="14.25"/>
    <row r="6684" ht="14.25"/>
    <row r="6685" ht="14.25"/>
    <row r="6686" ht="14.25"/>
    <row r="6687" ht="14.25"/>
    <row r="6688" ht="14.25"/>
    <row r="6689" ht="14.25"/>
    <row r="6690" ht="14.25"/>
    <row r="6691" ht="14.25"/>
    <row r="6692" ht="14.25"/>
    <row r="6693" ht="14.25"/>
    <row r="6694" ht="14.25"/>
    <row r="6695" ht="14.25"/>
    <row r="6696" ht="14.25"/>
    <row r="6697" ht="14.25"/>
    <row r="6698" ht="14.25"/>
    <row r="6699" ht="14.25"/>
    <row r="6700" ht="14.25"/>
    <row r="6701" ht="14.25"/>
    <row r="6702" ht="14.25"/>
    <row r="6703" ht="14.25"/>
    <row r="6704" ht="14.25"/>
    <row r="6705" ht="14.25"/>
    <row r="6706" ht="14.25"/>
    <row r="6707" ht="14.25"/>
    <row r="6708" ht="14.25"/>
    <row r="6709" ht="14.25"/>
    <row r="6710" ht="14.25"/>
    <row r="6711" ht="14.25"/>
    <row r="6712" ht="14.25"/>
    <row r="6713" ht="14.25"/>
    <row r="6714" ht="14.25"/>
    <row r="6715" ht="14.25"/>
    <row r="6716" ht="14.25"/>
    <row r="6717" ht="14.25"/>
    <row r="6718" ht="14.25"/>
    <row r="6719" ht="14.25"/>
    <row r="6720" ht="14.25"/>
    <row r="6721" ht="14.25"/>
    <row r="6722" ht="14.25"/>
    <row r="6723" ht="14.25"/>
    <row r="6724" ht="14.25"/>
    <row r="6725" ht="14.25"/>
    <row r="6726" ht="14.25"/>
    <row r="6727" ht="14.25"/>
    <row r="6728" ht="14.25"/>
    <row r="6729" ht="14.25"/>
    <row r="6730" ht="14.25"/>
    <row r="6731" ht="14.25"/>
    <row r="6732" ht="14.25"/>
    <row r="6733" ht="14.25"/>
    <row r="6734" ht="14.25"/>
    <row r="6735" ht="14.25"/>
    <row r="6736" ht="14.25"/>
    <row r="6737" ht="14.25"/>
    <row r="6738" ht="14.25"/>
    <row r="6739" ht="14.25"/>
    <row r="6740" ht="14.25"/>
    <row r="6741" ht="14.25"/>
    <row r="6742" ht="14.25"/>
    <row r="6743" ht="14.25"/>
    <row r="6744" ht="14.25"/>
    <row r="6745" ht="14.25"/>
    <row r="6746" ht="14.25"/>
    <row r="6747" ht="14.25"/>
    <row r="6748" ht="14.25"/>
    <row r="6749" ht="14.25"/>
    <row r="6750" ht="14.25"/>
    <row r="6751" ht="14.25"/>
    <row r="6752" ht="14.25"/>
    <row r="6753" ht="14.25"/>
    <row r="6754" ht="14.25"/>
    <row r="6755" ht="14.25"/>
    <row r="6756" ht="14.25"/>
    <row r="6757" ht="14.25"/>
    <row r="6758" ht="14.25"/>
    <row r="6759" ht="14.25"/>
    <row r="6760" ht="14.25"/>
    <row r="6761" ht="14.25"/>
    <row r="6762" ht="14.25"/>
    <row r="6763" ht="14.25"/>
    <row r="6764" ht="14.25"/>
    <row r="6765" ht="14.25"/>
    <row r="6766" ht="14.25"/>
    <row r="6767" ht="14.25"/>
    <row r="6768" ht="14.25"/>
    <row r="6769" ht="14.25"/>
    <row r="6770" ht="14.25"/>
    <row r="6771" ht="14.25"/>
    <row r="6772" ht="14.25"/>
    <row r="6773" ht="14.25"/>
    <row r="6774" ht="14.25"/>
    <row r="6775" ht="14.25"/>
    <row r="6776" ht="14.25"/>
    <row r="6777" ht="14.25"/>
    <row r="6778" ht="14.25"/>
    <row r="6779" ht="14.25"/>
    <row r="6780" ht="14.25"/>
    <row r="6781" ht="14.25"/>
    <row r="6782" ht="14.25"/>
    <row r="6783" ht="14.25"/>
    <row r="6784" ht="14.25"/>
    <row r="6785" ht="14.25"/>
    <row r="6786" ht="14.25"/>
    <row r="6787" ht="14.25"/>
    <row r="6788" ht="14.25"/>
    <row r="6789" ht="14.25"/>
    <row r="6790" ht="14.25"/>
    <row r="6791" ht="14.25"/>
    <row r="6792" ht="14.25"/>
    <row r="6793" ht="14.25"/>
    <row r="6794" ht="14.25"/>
    <row r="6795" ht="14.25"/>
    <row r="6796" ht="14.25"/>
    <row r="6797" ht="14.25"/>
    <row r="6798" ht="14.25"/>
    <row r="6799" ht="14.25"/>
    <row r="6800" ht="14.25"/>
    <row r="6801" ht="14.25"/>
    <row r="6802" ht="14.25"/>
    <row r="6803" ht="14.25"/>
    <row r="6804" ht="14.25"/>
    <row r="6805" ht="14.25"/>
    <row r="6806" ht="14.25"/>
    <row r="6807" ht="14.25"/>
    <row r="6808" ht="14.25"/>
    <row r="6809" ht="14.25"/>
    <row r="6810" ht="14.25"/>
    <row r="6811" ht="14.25"/>
    <row r="6812" ht="14.25"/>
    <row r="6813" ht="14.25"/>
    <row r="6814" ht="14.25"/>
    <row r="6815" ht="14.25"/>
    <row r="6816" ht="14.25"/>
    <row r="6817" ht="14.25"/>
    <row r="6818" ht="14.25"/>
    <row r="6819" ht="14.25"/>
    <row r="6820" ht="14.25"/>
    <row r="6821" ht="14.25"/>
    <row r="6822" ht="14.25"/>
    <row r="6823" ht="14.25"/>
    <row r="6824" ht="14.25"/>
    <row r="6825" ht="14.25"/>
    <row r="6826" ht="14.25"/>
    <row r="6827" ht="14.25"/>
    <row r="6828" ht="14.25"/>
    <row r="6829" ht="14.25"/>
    <row r="6830" ht="14.25"/>
    <row r="6831" ht="14.25"/>
    <row r="6832" ht="14.25"/>
    <row r="6833" ht="14.25"/>
    <row r="6834" ht="14.25"/>
    <row r="6835" ht="14.25"/>
    <row r="6836" ht="14.25"/>
    <row r="6837" ht="14.25"/>
    <row r="6838" ht="14.25"/>
    <row r="6839" ht="14.25"/>
    <row r="6840" ht="14.25"/>
    <row r="6841" ht="14.25"/>
    <row r="6842" ht="14.25"/>
    <row r="6843" ht="14.25"/>
    <row r="6844" ht="14.25"/>
    <row r="6845" ht="14.25"/>
    <row r="6846" ht="14.25"/>
    <row r="6847" ht="14.25"/>
    <row r="6848" ht="14.25"/>
    <row r="6849" ht="14.25"/>
    <row r="6850" ht="14.25"/>
    <row r="6851" ht="14.25"/>
    <row r="6852" ht="14.25"/>
    <row r="6853" ht="14.25"/>
    <row r="6854" ht="14.25"/>
    <row r="6855" ht="14.25"/>
    <row r="6856" ht="14.25"/>
    <row r="6857" ht="14.25"/>
    <row r="6858" ht="14.25"/>
    <row r="6859" ht="14.25"/>
    <row r="6860" ht="14.25"/>
    <row r="6861" ht="14.25"/>
    <row r="6862" ht="14.25"/>
    <row r="6863" ht="14.25"/>
    <row r="6864" ht="14.25"/>
    <row r="6865" ht="14.25"/>
    <row r="6866" ht="14.25"/>
    <row r="6867" ht="14.25"/>
    <row r="6868" ht="14.25"/>
    <row r="6869" ht="14.25"/>
    <row r="6870" ht="14.25"/>
    <row r="6871" ht="14.25"/>
    <row r="6872" ht="14.25"/>
    <row r="6873" ht="14.25"/>
    <row r="6874" ht="14.25"/>
    <row r="6875" ht="14.25"/>
    <row r="6876" ht="14.25"/>
    <row r="6877" ht="14.25"/>
    <row r="6878" ht="14.25"/>
    <row r="6879" ht="14.25"/>
    <row r="6880" ht="14.25"/>
    <row r="6881" ht="14.25"/>
    <row r="6882" ht="14.25"/>
    <row r="6883" ht="14.25"/>
    <row r="6884" ht="14.25"/>
    <row r="6885" ht="14.25"/>
    <row r="6886" ht="14.25"/>
    <row r="6887" ht="14.25"/>
    <row r="6888" ht="14.25"/>
    <row r="6889" ht="14.25"/>
    <row r="6890" ht="14.25"/>
    <row r="6891" ht="14.25"/>
    <row r="6892" ht="14.25"/>
    <row r="6893" ht="14.25"/>
    <row r="6894" ht="14.25"/>
    <row r="6895" ht="14.25"/>
    <row r="6896" ht="14.25"/>
    <row r="6897" ht="14.25"/>
    <row r="6898" ht="14.25"/>
    <row r="6899" ht="14.25"/>
    <row r="6900" ht="14.25"/>
    <row r="6901" ht="14.25"/>
    <row r="6902" ht="14.25"/>
    <row r="6903" ht="14.25"/>
    <row r="6904" ht="14.25"/>
    <row r="6905" ht="14.25"/>
    <row r="6906" ht="14.25"/>
    <row r="6907" ht="14.25"/>
    <row r="6908" ht="14.25"/>
    <row r="6909" ht="14.25"/>
    <row r="6910" ht="14.25"/>
    <row r="6911" ht="14.25"/>
    <row r="6912" ht="14.25"/>
    <row r="6913" ht="14.25"/>
    <row r="6914" ht="14.25"/>
    <row r="6915" ht="14.25"/>
    <row r="6916" ht="14.25"/>
    <row r="6917" ht="14.25"/>
    <row r="6918" ht="14.25"/>
    <row r="6919" ht="14.25"/>
    <row r="6920" ht="14.25"/>
    <row r="6921" ht="14.25"/>
    <row r="6922" ht="14.25"/>
    <row r="6923" ht="14.25"/>
    <row r="6924" ht="14.25"/>
    <row r="6925" ht="14.25"/>
    <row r="6926" ht="14.25"/>
    <row r="6927" ht="14.25"/>
    <row r="6928" ht="14.25"/>
    <row r="6929" ht="14.25"/>
    <row r="6930" ht="14.25"/>
    <row r="6931" ht="14.25"/>
    <row r="6932" ht="14.25"/>
    <row r="6933" ht="14.25"/>
    <row r="6934" ht="14.25"/>
    <row r="6935" ht="14.25"/>
    <row r="6936" ht="14.25"/>
    <row r="6937" ht="14.25"/>
    <row r="6938" ht="14.25"/>
    <row r="6939" ht="14.25"/>
    <row r="6940" ht="14.25"/>
    <row r="6941" ht="14.25"/>
    <row r="6942" ht="14.25"/>
    <row r="6943" ht="14.25"/>
    <row r="6944" ht="14.25"/>
    <row r="6945" ht="14.25"/>
    <row r="6946" ht="14.25"/>
    <row r="6947" ht="14.25"/>
    <row r="6948" ht="14.25"/>
    <row r="6949" ht="14.25"/>
    <row r="6950" ht="14.25"/>
    <row r="6951" ht="14.25"/>
    <row r="6952" ht="14.25"/>
    <row r="6953" ht="14.25"/>
    <row r="6954" ht="14.25"/>
    <row r="6955" ht="14.25"/>
    <row r="6956" ht="14.25"/>
    <row r="6957" ht="14.25"/>
    <row r="6958" ht="14.25"/>
    <row r="6959" ht="14.25"/>
    <row r="6960" ht="14.25"/>
    <row r="6961" ht="14.25"/>
    <row r="6962" ht="14.25"/>
    <row r="6963" ht="14.25"/>
    <row r="6964" ht="14.25"/>
    <row r="6965" ht="14.25"/>
    <row r="6966" ht="14.25"/>
    <row r="6967" ht="14.25"/>
    <row r="6968" ht="14.25"/>
    <row r="6969" ht="14.25"/>
    <row r="6970" ht="14.25"/>
    <row r="6971" ht="14.25"/>
    <row r="6972" ht="14.25"/>
    <row r="6973" ht="14.25"/>
    <row r="6974" ht="14.25"/>
    <row r="6975" ht="14.25"/>
    <row r="6976" ht="14.25"/>
    <row r="6977" ht="14.25"/>
    <row r="6978" ht="14.25"/>
    <row r="6979" ht="14.25"/>
    <row r="6980" ht="14.25"/>
    <row r="6981" ht="14.25"/>
    <row r="6982" ht="14.25"/>
    <row r="6983" ht="14.25"/>
    <row r="6984" ht="14.25"/>
    <row r="6985" ht="14.25"/>
    <row r="6986" ht="14.25"/>
    <row r="6987" ht="14.25"/>
    <row r="6988" ht="14.25"/>
    <row r="6989" ht="14.25"/>
    <row r="6990" ht="14.25"/>
    <row r="6991" ht="14.25"/>
    <row r="6992" ht="14.25"/>
    <row r="6993" ht="14.25"/>
    <row r="6994" ht="14.25"/>
    <row r="6995" ht="14.25"/>
    <row r="6996" ht="14.25"/>
    <row r="6997" ht="14.25"/>
    <row r="6998" ht="14.25"/>
    <row r="6999" ht="14.25"/>
    <row r="7000" ht="14.25"/>
    <row r="7001" ht="14.25"/>
    <row r="7002" ht="14.25"/>
    <row r="7003" ht="14.25"/>
    <row r="7004" ht="14.25"/>
    <row r="7005" ht="14.25"/>
    <row r="7006" ht="14.25"/>
    <row r="7007" ht="14.25"/>
    <row r="7008" ht="14.25"/>
    <row r="7009" ht="14.25"/>
    <row r="7010" ht="14.25"/>
    <row r="7011" ht="14.25"/>
    <row r="7012" ht="14.25"/>
    <row r="7013" ht="14.25"/>
    <row r="7014" ht="14.25"/>
    <row r="7015" ht="14.25"/>
    <row r="7016" ht="14.25"/>
    <row r="7017" ht="14.25"/>
    <row r="7018" ht="14.25"/>
    <row r="7019" ht="14.25"/>
    <row r="7020" ht="14.25"/>
    <row r="7021" ht="14.25"/>
    <row r="7022" ht="14.25"/>
    <row r="7023" ht="14.25"/>
    <row r="7024" ht="14.25"/>
    <row r="7025" ht="14.25"/>
    <row r="7026" ht="14.25"/>
    <row r="7027" ht="14.25"/>
    <row r="7028" ht="14.25"/>
    <row r="7029" ht="14.25"/>
    <row r="7030" ht="14.25"/>
    <row r="7031" ht="14.25"/>
    <row r="7032" ht="14.25"/>
    <row r="7033" ht="14.25"/>
    <row r="7034" ht="14.25"/>
    <row r="7035" ht="14.25"/>
    <row r="7036" ht="14.25"/>
    <row r="7037" ht="14.25"/>
    <row r="7038" ht="14.25"/>
    <row r="7039" ht="14.25"/>
    <row r="7040" ht="14.25"/>
    <row r="7041" ht="14.25"/>
    <row r="7042" ht="14.25"/>
    <row r="7043" ht="14.25"/>
    <row r="7044" ht="14.25"/>
    <row r="7045" ht="14.25"/>
    <row r="7046" ht="14.25"/>
    <row r="7047" ht="14.25"/>
    <row r="7048" ht="14.25"/>
    <row r="7049" ht="14.25"/>
    <row r="7050" ht="14.25"/>
    <row r="7051" ht="14.25"/>
    <row r="7052" ht="14.25"/>
    <row r="7053" ht="14.25"/>
    <row r="7054" ht="14.25"/>
    <row r="7055" ht="14.25"/>
    <row r="7056" ht="14.25"/>
    <row r="7057" ht="14.25"/>
    <row r="7058" ht="14.25"/>
    <row r="7059" ht="14.25"/>
    <row r="7060" ht="14.25"/>
    <row r="7061" ht="14.25"/>
    <row r="7062" ht="14.25"/>
    <row r="7063" ht="14.25"/>
    <row r="7064" ht="14.25"/>
    <row r="7065" ht="14.25"/>
    <row r="7066" ht="14.25"/>
    <row r="7067" ht="14.25"/>
    <row r="7068" ht="14.25"/>
    <row r="7069" ht="14.25"/>
    <row r="7070" ht="14.25"/>
    <row r="7071" ht="14.25"/>
    <row r="7072" ht="14.25"/>
    <row r="7073" ht="14.25"/>
    <row r="7074" ht="14.25"/>
    <row r="7075" ht="14.25"/>
    <row r="7076" ht="14.25"/>
    <row r="7077" ht="14.25"/>
    <row r="7078" ht="14.25"/>
    <row r="7079" ht="14.25"/>
    <row r="7080" ht="14.25"/>
    <row r="7081" ht="14.25"/>
    <row r="7082" ht="14.25"/>
    <row r="7083" ht="14.25"/>
    <row r="7084" ht="14.25"/>
    <row r="7085" ht="14.25"/>
    <row r="7086" ht="14.25"/>
    <row r="7087" ht="14.25"/>
    <row r="7088" ht="14.25"/>
    <row r="7089" ht="14.25"/>
    <row r="7090" ht="14.25"/>
    <row r="7091" ht="14.25"/>
    <row r="7092" ht="14.25"/>
    <row r="7093" ht="14.25"/>
    <row r="7094" ht="14.25"/>
    <row r="7095" ht="14.25"/>
    <row r="7096" ht="14.25"/>
    <row r="7097" ht="14.25"/>
    <row r="7098" ht="14.25"/>
    <row r="7099" ht="14.25"/>
    <row r="7100" ht="14.25"/>
    <row r="7101" ht="14.25"/>
    <row r="7102" ht="14.25"/>
    <row r="7103" ht="14.25"/>
    <row r="7104" ht="14.25"/>
    <row r="7105" ht="14.25"/>
    <row r="7106" ht="14.25"/>
    <row r="7107" ht="14.25"/>
    <row r="7108" ht="14.25"/>
    <row r="7109" ht="14.25"/>
    <row r="7110" ht="14.25"/>
    <row r="7111" ht="14.25"/>
    <row r="7112" ht="14.25"/>
    <row r="7113" ht="14.25"/>
    <row r="7114" ht="14.25"/>
    <row r="7115" ht="14.25"/>
    <row r="7116" ht="14.25"/>
    <row r="7117" ht="14.25"/>
    <row r="7118" ht="14.25"/>
    <row r="7119" ht="14.25"/>
    <row r="7120" ht="14.25"/>
    <row r="7121" ht="14.25"/>
    <row r="7122" ht="14.25"/>
    <row r="7123" ht="14.25"/>
    <row r="7124" ht="14.25"/>
    <row r="7125" ht="14.25"/>
    <row r="7126" ht="14.25"/>
    <row r="7127" ht="14.25"/>
    <row r="7128" ht="14.25"/>
    <row r="7129" ht="14.25"/>
    <row r="7130" ht="14.25"/>
    <row r="7131" ht="14.25"/>
    <row r="7132" ht="14.25"/>
    <row r="7133" ht="14.25"/>
    <row r="7134" ht="14.25"/>
    <row r="7135" ht="14.25"/>
    <row r="7136" ht="14.25"/>
    <row r="7137" ht="14.25"/>
    <row r="7138" ht="14.25"/>
    <row r="7139" ht="14.25"/>
    <row r="7140" ht="14.25"/>
    <row r="7141" ht="14.25"/>
    <row r="7142" ht="14.25"/>
    <row r="7143" ht="14.25"/>
    <row r="7144" ht="14.25"/>
    <row r="7145" ht="14.25"/>
    <row r="7146" ht="14.25"/>
    <row r="7147" ht="14.25"/>
    <row r="7148" ht="14.25"/>
    <row r="7149" ht="14.25"/>
    <row r="7150" ht="14.25"/>
    <row r="7151" ht="14.25"/>
    <row r="7152" ht="14.25"/>
    <row r="7153" ht="14.25"/>
    <row r="7154" ht="14.25"/>
    <row r="7155" ht="14.25"/>
    <row r="7156" ht="14.25"/>
    <row r="7157" ht="14.25"/>
    <row r="7158" ht="14.25"/>
    <row r="7159" ht="14.25"/>
    <row r="7160" ht="14.25"/>
    <row r="7161" ht="14.25"/>
    <row r="7162" ht="14.25"/>
    <row r="7163" ht="14.25"/>
    <row r="7164" ht="14.25"/>
    <row r="7165" ht="14.25"/>
    <row r="7166" ht="14.25"/>
    <row r="7167" ht="14.25"/>
    <row r="7168" ht="14.25"/>
    <row r="7169" ht="14.25"/>
    <row r="7170" ht="14.25"/>
    <row r="7171" ht="14.25"/>
    <row r="7172" ht="14.25"/>
    <row r="7173" ht="14.25"/>
    <row r="7174" ht="14.25"/>
    <row r="7175" ht="14.25"/>
    <row r="7176" ht="14.25"/>
    <row r="7177" ht="14.25"/>
    <row r="7178" ht="14.25"/>
    <row r="7179" ht="14.25"/>
    <row r="7180" ht="14.25"/>
    <row r="7181" ht="14.25"/>
    <row r="7182" ht="14.25"/>
    <row r="7183" ht="14.25"/>
    <row r="7184" ht="14.25"/>
    <row r="7185" ht="14.25"/>
    <row r="7186" ht="14.25"/>
    <row r="7187" ht="14.25"/>
    <row r="7188" ht="14.25"/>
    <row r="7189" ht="14.25"/>
    <row r="7190" ht="14.25"/>
    <row r="7191" ht="14.25"/>
    <row r="7192" ht="14.25"/>
    <row r="7193" ht="14.25"/>
    <row r="7194" ht="14.25"/>
    <row r="7195" ht="14.25"/>
    <row r="7196" ht="14.25"/>
    <row r="7197" ht="14.25"/>
    <row r="7198" ht="14.25"/>
    <row r="7199" ht="14.25"/>
    <row r="7200" ht="14.25"/>
    <row r="7201" ht="14.25"/>
    <row r="7202" ht="14.25"/>
    <row r="7203" ht="14.25"/>
    <row r="7204" ht="14.25"/>
    <row r="7205" ht="14.25"/>
    <row r="7206" ht="14.25"/>
    <row r="7207" ht="14.25"/>
    <row r="7208" ht="14.25"/>
    <row r="7209" ht="14.25"/>
    <row r="7210" ht="14.25"/>
    <row r="7211" ht="14.25"/>
    <row r="7212" ht="14.25"/>
    <row r="7213" ht="14.25"/>
    <row r="7214" ht="14.25"/>
    <row r="7215" ht="14.25"/>
    <row r="7216" ht="14.25"/>
    <row r="7217" ht="14.25"/>
    <row r="7218" ht="14.25"/>
    <row r="7219" ht="14.25"/>
    <row r="7220" ht="14.25"/>
    <row r="7221" ht="14.25"/>
    <row r="7222" ht="14.25"/>
    <row r="7223" ht="14.25"/>
    <row r="7224" ht="14.25"/>
    <row r="7225" ht="14.25"/>
    <row r="7226" ht="14.25"/>
    <row r="7227" ht="14.25"/>
    <row r="7228" ht="14.25"/>
    <row r="7229" ht="14.25"/>
    <row r="7230" ht="14.25"/>
    <row r="7231" ht="14.25"/>
    <row r="7232" ht="14.25"/>
    <row r="7233" ht="14.25"/>
    <row r="7234" ht="14.25"/>
    <row r="7235" ht="14.25"/>
    <row r="7236" ht="14.25"/>
    <row r="7237" ht="14.25"/>
    <row r="7238" ht="14.25"/>
    <row r="7239" ht="14.25"/>
    <row r="7240" ht="14.25"/>
    <row r="7241" ht="14.25"/>
    <row r="7242" ht="14.25"/>
    <row r="7243" ht="14.25"/>
    <row r="7244" ht="14.25"/>
    <row r="7245" ht="14.25"/>
    <row r="7246" ht="14.25"/>
    <row r="7247" ht="14.25"/>
    <row r="7248" ht="14.25"/>
    <row r="7249" ht="14.25"/>
    <row r="7250" ht="14.25"/>
    <row r="7251" ht="14.25"/>
    <row r="7252" ht="14.25"/>
    <row r="7253" ht="14.25"/>
    <row r="7254" ht="14.25"/>
    <row r="7255" ht="14.25"/>
    <row r="7256" ht="14.25"/>
    <row r="7257" ht="14.25"/>
    <row r="7258" ht="14.25"/>
    <row r="7259" ht="14.25"/>
    <row r="7260" ht="14.25"/>
    <row r="7261" ht="14.25"/>
    <row r="7262" ht="14.25"/>
    <row r="7263" ht="14.25"/>
    <row r="7264" ht="14.25"/>
    <row r="7265" ht="14.25"/>
    <row r="7266" ht="14.25"/>
    <row r="7267" ht="14.25"/>
    <row r="7268" ht="14.25"/>
    <row r="7269" ht="14.25"/>
    <row r="7270" ht="14.25"/>
    <row r="7271" ht="14.25"/>
    <row r="7272" ht="14.25"/>
    <row r="7273" ht="14.25"/>
    <row r="7274" ht="14.25"/>
    <row r="7275" ht="14.25"/>
    <row r="7276" ht="14.25"/>
    <row r="7277" ht="14.25"/>
    <row r="7278" ht="14.25"/>
    <row r="7279" ht="14.25"/>
    <row r="7280" ht="14.25"/>
    <row r="7281" ht="14.25"/>
    <row r="7282" ht="14.25"/>
    <row r="7283" ht="14.25"/>
    <row r="7284" ht="14.25"/>
    <row r="7285" ht="14.25"/>
    <row r="7286" ht="14.25"/>
    <row r="7287" ht="14.25"/>
    <row r="7288" ht="14.25"/>
    <row r="7289" ht="14.25"/>
    <row r="7290" ht="14.25"/>
    <row r="7291" ht="14.25"/>
    <row r="7292" ht="14.25"/>
    <row r="7293" ht="14.25"/>
    <row r="7294" ht="14.25"/>
    <row r="7295" ht="14.25"/>
    <row r="7296" ht="14.25"/>
    <row r="7297" ht="14.25"/>
    <row r="7298" ht="14.25"/>
    <row r="7299" ht="14.25"/>
    <row r="7300" ht="14.25"/>
    <row r="7301" ht="14.25"/>
    <row r="7302" ht="14.25"/>
    <row r="7303" ht="14.25"/>
    <row r="7304" ht="14.25"/>
    <row r="7305" ht="14.25"/>
    <row r="7306" ht="14.25"/>
    <row r="7307" ht="14.25"/>
    <row r="7308" ht="14.25"/>
    <row r="7309" ht="14.25"/>
    <row r="7310" ht="14.25"/>
    <row r="7311" ht="14.25"/>
    <row r="7312" ht="14.25"/>
    <row r="7313" ht="14.25"/>
    <row r="7314" ht="14.25"/>
    <row r="7315" ht="14.25"/>
    <row r="7316" ht="14.25"/>
    <row r="7317" ht="14.25"/>
    <row r="7318" ht="14.25"/>
    <row r="7319" ht="14.25"/>
    <row r="7320" ht="14.25"/>
    <row r="7321" ht="14.25"/>
    <row r="7322" ht="14.25"/>
    <row r="7323" ht="14.25"/>
    <row r="7324" ht="14.25"/>
    <row r="7325" ht="14.25"/>
    <row r="7326" ht="14.25"/>
    <row r="7327" ht="14.25"/>
    <row r="7328" ht="14.25"/>
    <row r="7329" ht="14.25"/>
    <row r="7330" ht="14.25"/>
    <row r="7331" ht="14.25"/>
    <row r="7332" ht="14.25"/>
    <row r="7333" ht="14.25"/>
    <row r="7334" ht="14.25"/>
    <row r="7335" ht="14.25"/>
    <row r="7336" ht="14.25"/>
    <row r="7337" ht="14.25"/>
    <row r="7338" ht="14.25"/>
    <row r="7339" ht="14.25"/>
    <row r="7340" ht="14.25"/>
    <row r="7341" ht="14.25"/>
    <row r="7342" ht="14.25"/>
    <row r="7343" ht="14.25"/>
    <row r="7344" ht="14.25"/>
    <row r="7345" ht="14.25"/>
    <row r="7346" ht="14.25"/>
    <row r="7347" ht="14.25"/>
    <row r="7348" ht="14.25"/>
    <row r="7349" ht="14.25"/>
    <row r="7350" ht="14.25"/>
    <row r="7351" ht="14.25"/>
    <row r="7352" ht="14.25"/>
    <row r="7353" ht="14.25"/>
    <row r="7354" ht="14.25"/>
    <row r="7355" ht="14.25"/>
    <row r="7356" ht="14.25"/>
    <row r="7357" ht="14.25"/>
    <row r="7358" ht="14.25"/>
    <row r="7359" ht="14.25"/>
    <row r="7360" ht="14.25"/>
    <row r="7361" ht="14.25"/>
    <row r="7362" ht="14.25"/>
    <row r="7363" ht="14.25"/>
    <row r="7364" ht="14.25"/>
    <row r="7365" ht="14.25"/>
    <row r="7366" ht="14.25"/>
    <row r="7367" ht="14.25"/>
    <row r="7368" ht="14.25"/>
    <row r="7369" ht="14.25"/>
    <row r="7370" ht="14.25"/>
    <row r="7371" ht="14.25"/>
    <row r="7372" ht="14.25"/>
    <row r="7373" ht="14.25"/>
    <row r="7374" ht="14.25"/>
    <row r="7375" ht="14.25"/>
    <row r="7376" ht="14.25"/>
    <row r="7377" ht="14.25"/>
    <row r="7378" ht="14.25"/>
    <row r="7379" ht="14.25"/>
    <row r="7380" ht="14.25"/>
    <row r="7381" ht="14.25"/>
    <row r="7382" ht="14.25"/>
    <row r="7383" ht="14.25"/>
    <row r="7384" ht="14.25"/>
    <row r="7385" ht="14.25"/>
    <row r="7386" ht="14.25"/>
    <row r="7387" ht="14.25"/>
    <row r="7388" ht="14.25"/>
    <row r="7389" ht="14.25"/>
    <row r="7390" ht="14.25"/>
    <row r="7391" ht="14.25"/>
    <row r="7392" ht="14.25"/>
    <row r="7393" ht="14.25"/>
    <row r="7394" ht="14.25"/>
    <row r="7395" ht="14.25"/>
    <row r="7396" ht="14.25"/>
    <row r="7397" ht="14.25"/>
    <row r="7398" ht="14.25"/>
    <row r="7399" ht="14.25"/>
    <row r="7400" ht="14.25"/>
    <row r="7401" ht="14.25"/>
    <row r="7402" ht="14.25"/>
    <row r="7403" ht="14.25"/>
    <row r="7404" ht="14.25"/>
    <row r="7405" ht="14.25"/>
    <row r="7406" ht="14.25"/>
    <row r="7407" ht="14.25"/>
    <row r="7408" ht="14.25"/>
    <row r="7409" ht="14.25"/>
    <row r="7410" ht="14.25"/>
    <row r="7411" ht="14.25"/>
    <row r="7412" ht="14.25"/>
    <row r="7413" ht="14.25"/>
    <row r="7414" ht="14.25"/>
    <row r="7415" ht="14.25"/>
    <row r="7416" ht="14.25"/>
    <row r="7417" ht="14.25"/>
    <row r="7418" ht="14.25"/>
    <row r="7419" ht="14.25"/>
    <row r="7420" ht="14.25"/>
    <row r="7421" ht="14.25"/>
    <row r="7422" ht="14.25"/>
    <row r="7423" ht="14.25"/>
    <row r="7424" ht="14.25"/>
    <row r="7425" ht="14.25"/>
    <row r="7426" ht="14.25"/>
    <row r="7427" ht="14.25"/>
    <row r="7428" ht="14.25"/>
    <row r="7429" ht="14.25"/>
    <row r="7430" ht="14.25"/>
    <row r="7431" ht="14.25"/>
    <row r="7432" ht="14.25"/>
    <row r="7433" ht="14.25"/>
    <row r="7434" ht="14.25"/>
    <row r="7435" ht="14.25"/>
    <row r="7436" ht="14.25"/>
    <row r="7437" ht="14.25"/>
    <row r="7438" ht="14.25"/>
    <row r="7439" ht="14.25"/>
    <row r="7440" ht="14.25"/>
    <row r="7441" ht="14.25"/>
    <row r="7442" ht="14.25"/>
    <row r="7443" ht="14.25"/>
    <row r="7444" ht="14.25"/>
    <row r="7445" ht="14.25"/>
    <row r="7446" ht="14.25"/>
    <row r="7447" ht="14.25"/>
    <row r="7448" ht="14.25"/>
    <row r="7449" ht="14.25"/>
    <row r="7450" ht="14.25"/>
    <row r="7451" ht="14.25"/>
    <row r="7452" ht="14.25"/>
    <row r="7453" ht="14.25"/>
    <row r="7454" ht="14.25"/>
    <row r="7455" ht="14.25"/>
    <row r="7456" ht="14.25"/>
    <row r="7457" ht="14.25"/>
    <row r="7458" ht="14.25"/>
    <row r="7459" ht="14.25"/>
    <row r="7460" ht="14.25"/>
    <row r="7461" ht="14.25"/>
    <row r="7462" ht="14.25"/>
    <row r="7463" ht="14.25"/>
    <row r="7464" ht="14.25"/>
    <row r="7465" ht="14.25"/>
    <row r="7466" ht="14.25"/>
    <row r="7467" ht="14.25"/>
    <row r="7468" ht="14.25"/>
    <row r="7469" ht="14.25"/>
    <row r="7470" ht="14.25"/>
    <row r="7471" ht="14.25"/>
    <row r="7472" ht="14.25"/>
    <row r="7473" ht="14.25"/>
    <row r="7474" ht="14.25"/>
    <row r="7475" ht="14.25"/>
    <row r="7476" ht="14.25"/>
    <row r="7477" ht="14.25"/>
    <row r="7478" ht="14.25"/>
    <row r="7479" ht="14.25"/>
    <row r="7480" ht="14.25"/>
    <row r="7481" ht="14.25"/>
    <row r="7482" ht="14.25"/>
    <row r="7483" ht="14.25"/>
    <row r="7484" ht="14.25"/>
    <row r="7485" ht="14.25"/>
    <row r="7486" ht="14.25"/>
    <row r="7487" ht="14.25"/>
    <row r="7488" ht="14.25"/>
    <row r="7489" ht="14.25"/>
    <row r="7490" ht="14.25"/>
    <row r="7491" ht="14.25"/>
    <row r="7492" ht="14.25"/>
    <row r="7493" ht="14.25"/>
    <row r="7494" ht="14.25"/>
    <row r="7495" ht="14.25"/>
    <row r="7496" ht="14.25"/>
    <row r="7497" ht="14.25"/>
    <row r="7498" ht="14.25"/>
    <row r="7499" ht="14.25"/>
    <row r="7500" ht="14.25"/>
    <row r="7501" ht="14.25"/>
    <row r="7502" ht="14.25"/>
    <row r="7503" ht="14.25"/>
    <row r="7504" ht="14.25"/>
    <row r="7505" ht="14.25"/>
    <row r="7506" ht="14.25"/>
    <row r="7507" ht="14.25"/>
    <row r="7508" ht="14.25"/>
    <row r="7509" ht="14.25"/>
    <row r="7510" ht="14.25"/>
    <row r="7511" ht="14.25"/>
    <row r="7512" ht="14.25"/>
    <row r="7513" ht="14.25"/>
    <row r="7514" ht="14.25"/>
    <row r="7515" ht="14.25"/>
    <row r="7516" ht="14.25"/>
    <row r="7517" ht="14.25"/>
    <row r="7518" ht="14.25"/>
    <row r="7519" ht="14.25"/>
    <row r="7520" ht="14.25"/>
    <row r="7521" ht="14.25"/>
    <row r="7522" ht="14.25"/>
    <row r="7523" ht="14.25"/>
    <row r="7524" ht="14.25"/>
    <row r="7525" ht="14.25"/>
    <row r="7526" ht="14.25"/>
    <row r="7527" ht="14.25"/>
    <row r="7528" ht="14.25"/>
    <row r="7529" ht="14.25"/>
    <row r="7530" ht="14.25"/>
    <row r="7531" ht="14.25"/>
    <row r="7532" ht="14.25"/>
    <row r="7533" ht="14.25"/>
    <row r="7534" ht="14.25"/>
    <row r="7535" ht="14.25"/>
    <row r="7536" ht="14.25"/>
    <row r="7537" ht="14.25"/>
    <row r="7538" ht="14.25"/>
    <row r="7539" ht="14.25"/>
    <row r="7540" ht="14.25"/>
    <row r="7541" ht="14.25"/>
    <row r="7542" ht="14.25"/>
    <row r="7543" ht="14.25"/>
    <row r="7544" ht="14.25"/>
    <row r="7545" ht="14.25"/>
    <row r="7546" ht="14.25"/>
    <row r="7547" ht="14.25"/>
    <row r="7548" ht="14.25"/>
    <row r="7549" ht="14.25"/>
    <row r="7550" ht="14.25"/>
    <row r="7551" ht="14.25"/>
    <row r="7552" ht="14.25"/>
    <row r="7553" ht="14.25"/>
    <row r="7554" ht="14.25"/>
    <row r="7555" ht="14.25"/>
    <row r="7556" ht="14.25"/>
    <row r="7557" ht="14.25"/>
    <row r="7558" ht="14.25"/>
    <row r="7559" ht="14.25"/>
    <row r="7560" ht="14.25"/>
    <row r="7561" ht="14.25"/>
    <row r="7562" ht="14.25"/>
    <row r="7563" ht="14.25"/>
    <row r="7564" ht="14.25"/>
    <row r="7565" ht="14.25"/>
    <row r="7566" ht="14.25"/>
    <row r="7567" ht="14.25"/>
    <row r="7568" ht="14.25"/>
    <row r="7569" ht="14.25"/>
    <row r="7570" ht="14.25"/>
    <row r="7571" ht="14.25"/>
    <row r="7572" ht="14.25"/>
    <row r="7573" ht="14.25"/>
    <row r="7574" ht="14.25"/>
    <row r="7575" ht="14.25"/>
    <row r="7576" ht="14.25"/>
    <row r="7577" ht="14.25"/>
    <row r="7578" ht="14.25"/>
    <row r="7579" ht="14.25"/>
    <row r="7580" ht="14.25"/>
    <row r="7581" ht="14.25"/>
    <row r="7582" ht="14.25"/>
    <row r="7583" ht="14.25"/>
    <row r="7584" ht="14.25"/>
    <row r="7585" ht="14.25"/>
    <row r="7586" ht="14.25"/>
    <row r="7587" ht="14.25"/>
    <row r="7588" ht="14.25"/>
    <row r="7589" ht="14.25"/>
    <row r="7590" ht="14.25"/>
    <row r="7591" ht="14.25"/>
    <row r="7592" ht="14.25"/>
    <row r="7593" ht="14.25"/>
    <row r="7594" ht="14.25"/>
    <row r="7595" ht="14.25"/>
    <row r="7596" ht="14.25"/>
    <row r="7597" ht="14.25"/>
    <row r="7598" ht="14.25"/>
    <row r="7599" ht="14.25"/>
    <row r="7600" ht="14.25"/>
    <row r="7601" ht="14.25"/>
    <row r="7602" ht="14.25"/>
    <row r="7603" ht="14.25"/>
    <row r="7604" ht="14.25"/>
    <row r="7605" ht="14.25"/>
    <row r="7606" ht="14.25"/>
    <row r="7607" ht="14.25"/>
    <row r="7608" ht="14.25"/>
    <row r="7609" ht="14.25"/>
    <row r="7610" ht="14.25"/>
    <row r="7611" ht="14.25"/>
    <row r="7612" ht="14.25"/>
    <row r="7613" ht="14.25"/>
    <row r="7614" ht="14.25"/>
    <row r="7615" ht="14.25"/>
    <row r="7616" ht="14.25"/>
    <row r="7617" ht="14.25"/>
    <row r="7618" ht="14.25"/>
    <row r="7619" ht="14.25"/>
    <row r="7620" ht="14.25"/>
    <row r="7621" ht="14.25"/>
    <row r="7622" ht="14.25"/>
    <row r="7623" ht="14.25"/>
    <row r="7624" ht="14.25"/>
    <row r="7625" ht="14.25"/>
    <row r="7626" ht="14.25"/>
    <row r="7627" ht="14.25"/>
    <row r="7628" ht="14.25"/>
    <row r="7629" ht="14.25"/>
    <row r="7630" ht="14.25"/>
    <row r="7631" ht="14.25"/>
    <row r="7632" ht="14.25"/>
    <row r="7633" ht="14.25"/>
    <row r="7634" ht="14.25"/>
    <row r="7635" ht="14.25"/>
    <row r="7636" ht="14.25"/>
    <row r="7637" ht="14.25"/>
    <row r="7638" ht="14.25"/>
    <row r="7639" ht="14.25"/>
    <row r="7640" ht="14.25"/>
    <row r="7641" ht="14.25"/>
    <row r="7642" ht="14.25"/>
    <row r="7643" ht="14.25"/>
    <row r="7644" ht="14.25"/>
    <row r="7645" ht="14.25"/>
    <row r="7646" ht="14.25"/>
    <row r="7647" ht="14.25"/>
    <row r="7648" ht="14.25"/>
    <row r="7649" ht="14.25"/>
    <row r="7650" ht="14.25"/>
    <row r="7651" ht="14.25"/>
    <row r="7652" ht="14.25"/>
    <row r="7653" ht="14.25"/>
    <row r="7654" ht="14.25"/>
    <row r="7655" ht="14.25"/>
    <row r="7656" ht="14.25"/>
    <row r="7657" ht="14.25"/>
    <row r="7658" ht="14.25"/>
    <row r="7659" ht="14.25"/>
    <row r="7660" ht="14.25"/>
    <row r="7661" ht="14.25"/>
    <row r="7662" ht="14.25"/>
    <row r="7663" ht="14.25"/>
    <row r="7664" ht="14.25"/>
    <row r="7665" ht="14.25"/>
    <row r="7666" ht="14.25"/>
    <row r="7667" ht="14.25"/>
    <row r="7668" ht="14.25"/>
    <row r="7669" ht="14.25"/>
    <row r="7670" ht="14.25"/>
    <row r="7671" ht="14.25"/>
    <row r="7672" ht="14.25"/>
    <row r="7673" ht="14.25"/>
    <row r="7674" ht="14.25"/>
    <row r="7675" ht="14.25"/>
    <row r="7676" ht="14.25"/>
    <row r="7677" ht="14.25"/>
    <row r="7678" ht="14.25"/>
    <row r="7679" ht="14.25"/>
    <row r="7680" ht="14.25"/>
    <row r="7681" ht="14.25"/>
    <row r="7682" ht="14.25"/>
    <row r="7683" ht="14.25"/>
    <row r="7684" ht="14.25"/>
    <row r="7685" ht="14.25"/>
    <row r="7686" ht="14.25"/>
    <row r="7687" ht="14.25"/>
    <row r="7688" ht="14.25"/>
    <row r="7689" ht="14.25"/>
    <row r="7690" ht="14.25"/>
    <row r="7691" ht="14.25"/>
    <row r="7692" ht="14.25"/>
    <row r="7693" ht="14.25"/>
    <row r="7694" ht="14.25"/>
    <row r="7695" ht="14.25"/>
    <row r="7696" ht="14.25"/>
    <row r="7697" ht="14.25"/>
    <row r="7698" ht="14.25"/>
    <row r="7699" ht="14.25"/>
    <row r="7700" ht="14.25"/>
    <row r="7701" ht="14.25"/>
    <row r="7702" ht="14.25"/>
    <row r="7703" ht="14.25"/>
    <row r="7704" ht="14.25"/>
    <row r="7705" ht="14.25"/>
    <row r="7706" ht="14.25"/>
    <row r="7707" ht="14.25"/>
    <row r="7708" ht="14.25"/>
    <row r="7709" ht="14.25"/>
    <row r="7710" ht="14.25"/>
    <row r="7711" ht="14.25"/>
    <row r="7712" ht="14.25"/>
    <row r="7713" ht="14.25"/>
    <row r="7714" ht="14.25"/>
    <row r="7715" ht="14.25"/>
    <row r="7716" ht="14.25"/>
    <row r="7717" ht="14.25"/>
    <row r="7718" ht="14.25"/>
    <row r="7719" ht="14.25"/>
    <row r="7720" ht="14.25"/>
    <row r="7721" ht="14.25"/>
    <row r="7722" ht="14.25"/>
    <row r="7723" ht="14.25"/>
    <row r="7724" ht="14.25"/>
    <row r="7725" ht="14.25"/>
    <row r="7726" ht="14.25"/>
    <row r="7727" ht="14.25"/>
    <row r="7728" ht="14.25"/>
    <row r="7729" ht="14.25"/>
    <row r="7730" ht="14.25"/>
    <row r="7731" ht="14.25"/>
    <row r="7732" ht="14.25"/>
    <row r="7733" ht="14.25"/>
    <row r="7734" ht="14.25"/>
    <row r="7735" ht="14.25"/>
    <row r="7736" ht="14.25"/>
    <row r="7737" ht="14.25"/>
    <row r="7738" ht="14.25"/>
    <row r="7739" ht="14.25"/>
    <row r="7740" ht="14.25"/>
    <row r="7741" ht="14.25"/>
    <row r="7742" ht="14.25"/>
    <row r="7743" ht="14.25"/>
    <row r="7744" ht="14.25"/>
    <row r="7745" ht="14.25"/>
    <row r="7746" ht="14.25"/>
    <row r="7747" ht="14.25"/>
    <row r="7748" ht="14.25"/>
    <row r="7749" ht="14.25"/>
    <row r="7750" ht="14.25"/>
    <row r="7751" ht="14.25"/>
    <row r="7752" ht="14.25"/>
    <row r="7753" ht="14.25"/>
    <row r="7754" ht="14.25"/>
    <row r="7755" ht="14.25"/>
    <row r="7756" ht="14.25"/>
    <row r="7757" ht="14.25"/>
    <row r="7758" ht="14.25"/>
    <row r="7759" ht="14.25"/>
    <row r="7760" ht="14.25"/>
    <row r="7761" ht="14.25"/>
    <row r="7762" ht="14.25"/>
    <row r="7763" ht="14.25"/>
    <row r="7764" ht="14.25"/>
    <row r="7765" ht="14.25"/>
    <row r="7766" ht="14.25"/>
    <row r="7767" ht="14.25"/>
    <row r="7768" ht="14.25"/>
    <row r="7769" ht="14.25"/>
    <row r="7770" ht="14.25"/>
    <row r="7771" ht="14.25"/>
    <row r="7772" ht="14.25"/>
    <row r="7773" ht="14.25"/>
    <row r="7774" ht="14.25"/>
    <row r="7775" ht="14.25"/>
    <row r="7776" ht="14.25"/>
    <row r="7777" ht="14.25"/>
    <row r="7778" ht="14.25"/>
    <row r="7779" ht="14.25"/>
    <row r="7780" ht="14.25"/>
    <row r="7781" ht="14.25"/>
    <row r="7782" ht="14.25"/>
    <row r="7783" ht="14.25"/>
    <row r="7784" ht="14.25"/>
    <row r="7785" ht="14.25"/>
    <row r="7786" ht="14.25"/>
    <row r="7787" ht="14.25"/>
    <row r="7788" ht="14.25"/>
    <row r="7789" ht="14.25"/>
    <row r="7790" ht="14.25"/>
    <row r="7791" ht="14.25"/>
    <row r="7792" ht="14.25"/>
    <row r="7793" ht="14.25"/>
    <row r="7794" ht="14.25"/>
    <row r="7795" ht="14.25"/>
    <row r="7796" ht="14.25"/>
    <row r="7797" ht="14.25"/>
    <row r="7798" ht="14.25"/>
    <row r="7799" ht="14.25"/>
    <row r="7800" ht="14.25"/>
    <row r="7801" ht="14.25"/>
    <row r="7802" ht="14.25"/>
    <row r="7803" ht="14.25"/>
    <row r="7804" ht="14.25"/>
    <row r="7805" ht="14.25"/>
    <row r="7806" ht="14.25"/>
    <row r="7807" ht="14.25"/>
    <row r="7808" ht="14.25"/>
    <row r="7809" ht="14.25"/>
    <row r="7810" ht="14.25"/>
    <row r="7811" ht="14.25"/>
    <row r="7812" ht="14.25"/>
    <row r="7813" ht="14.25"/>
    <row r="7814" ht="14.25"/>
    <row r="7815" ht="14.25"/>
    <row r="7816" ht="14.25"/>
    <row r="7817" ht="14.25"/>
    <row r="7818" ht="14.25"/>
    <row r="7819" ht="14.25"/>
    <row r="7820" ht="14.25"/>
    <row r="7821" ht="14.25"/>
    <row r="7822" ht="14.25"/>
    <row r="7823" ht="14.25"/>
    <row r="7824" ht="14.25"/>
    <row r="7825" ht="14.25"/>
    <row r="7826" ht="14.25"/>
    <row r="7827" ht="14.25"/>
    <row r="7828" ht="14.25"/>
    <row r="7829" ht="14.25"/>
    <row r="7830" ht="14.25"/>
    <row r="7831" ht="14.25"/>
    <row r="7832" ht="14.25"/>
    <row r="7833" ht="14.25"/>
    <row r="7834" ht="14.25"/>
    <row r="7835" ht="14.25"/>
    <row r="7836" ht="14.25"/>
    <row r="7837" ht="14.25"/>
    <row r="7838" ht="14.25"/>
    <row r="7839" ht="14.25"/>
    <row r="7840" ht="14.25"/>
    <row r="7841" ht="14.25"/>
    <row r="7842" ht="14.25"/>
    <row r="7843" ht="14.25"/>
    <row r="7844" ht="14.25"/>
    <row r="7845" ht="14.25"/>
    <row r="7846" ht="14.25"/>
    <row r="7847" ht="14.25"/>
    <row r="7848" ht="14.25"/>
    <row r="7849" ht="14.25"/>
    <row r="7850" ht="14.25"/>
    <row r="7851" ht="14.25"/>
    <row r="7852" ht="14.25"/>
    <row r="7853" ht="14.25"/>
    <row r="7854" ht="14.25"/>
    <row r="7855" ht="14.25"/>
    <row r="7856" ht="14.25"/>
    <row r="7857" ht="14.25"/>
    <row r="7858" ht="14.25"/>
    <row r="7859" ht="14.25"/>
    <row r="7860" ht="14.25"/>
    <row r="7861" ht="14.25"/>
    <row r="7862" ht="14.25"/>
    <row r="7863" ht="14.25"/>
    <row r="7864" ht="14.25"/>
    <row r="7865" ht="14.25"/>
    <row r="7866" ht="14.25"/>
    <row r="7867" ht="14.25"/>
    <row r="7868" ht="14.25"/>
    <row r="7869" ht="14.25"/>
    <row r="7870" ht="14.25"/>
    <row r="7871" ht="14.25"/>
    <row r="7872" ht="14.25"/>
    <row r="7873" ht="14.25"/>
    <row r="7874" ht="14.25"/>
    <row r="7875" ht="14.25"/>
    <row r="7876" ht="14.25"/>
    <row r="7877" ht="14.25"/>
    <row r="7878" ht="14.25"/>
    <row r="7879" ht="14.25"/>
    <row r="7880" ht="14.25"/>
    <row r="7881" ht="14.25"/>
    <row r="7882" ht="14.25"/>
    <row r="7883" ht="14.25"/>
    <row r="7884" ht="14.25"/>
    <row r="7885" ht="14.25"/>
    <row r="7886" ht="14.25"/>
    <row r="7887" ht="14.25"/>
    <row r="7888" ht="14.25"/>
    <row r="7889" ht="14.25"/>
    <row r="7890" ht="14.25"/>
    <row r="7891" ht="14.25"/>
    <row r="7892" ht="14.25"/>
    <row r="7893" ht="14.25"/>
    <row r="7894" ht="14.25"/>
    <row r="7895" ht="14.25"/>
    <row r="7896" ht="14.25"/>
    <row r="7897" ht="14.25"/>
    <row r="7898" ht="14.25"/>
    <row r="7899" ht="14.25"/>
    <row r="7900" ht="14.25"/>
    <row r="7901" ht="14.25"/>
    <row r="7902" ht="14.25"/>
    <row r="7903" ht="14.25"/>
    <row r="7904" ht="14.25"/>
    <row r="7905" ht="14.25"/>
    <row r="7906" ht="14.25"/>
    <row r="7907" ht="14.25"/>
    <row r="7908" ht="14.25"/>
    <row r="7909" ht="14.25"/>
    <row r="7910" ht="14.25"/>
    <row r="7911" ht="14.25"/>
    <row r="7912" ht="14.25"/>
    <row r="7913" ht="14.25"/>
    <row r="7914" ht="14.25"/>
    <row r="7915" ht="14.25"/>
    <row r="7916" ht="14.25"/>
    <row r="7917" ht="14.25"/>
    <row r="7918" ht="14.25"/>
    <row r="7919" ht="14.25"/>
    <row r="7920" ht="14.25"/>
    <row r="7921" ht="14.25"/>
    <row r="7922" ht="14.25"/>
    <row r="7923" ht="14.25"/>
    <row r="7924" ht="14.25"/>
    <row r="7925" ht="14.25"/>
    <row r="7926" ht="14.25"/>
    <row r="7927" ht="14.25"/>
    <row r="7928" ht="14.25"/>
    <row r="7929" ht="14.25"/>
    <row r="7930" ht="14.25"/>
    <row r="7931" ht="14.25"/>
    <row r="7932" ht="14.25"/>
    <row r="7933" ht="14.25"/>
    <row r="7934" ht="14.25"/>
    <row r="7935" ht="14.25"/>
    <row r="7936" ht="14.25"/>
    <row r="7937" ht="14.25"/>
    <row r="7938" ht="14.25"/>
    <row r="7939" ht="14.25"/>
    <row r="7940" ht="14.25"/>
    <row r="7941" ht="14.25"/>
    <row r="7942" ht="14.25"/>
    <row r="7943" ht="14.25"/>
    <row r="7944" ht="14.25"/>
    <row r="7945" ht="14.25"/>
    <row r="7946" ht="14.25"/>
    <row r="7947" ht="14.25"/>
    <row r="7948" ht="14.25"/>
    <row r="7949" ht="14.25"/>
    <row r="7950" ht="14.25"/>
    <row r="7951" ht="14.25"/>
    <row r="7952" ht="14.25"/>
    <row r="7953" ht="14.25"/>
    <row r="7954" ht="14.25"/>
    <row r="7955" ht="14.25"/>
    <row r="7956" ht="14.25"/>
    <row r="7957" ht="14.25"/>
    <row r="7958" ht="14.25"/>
    <row r="7959" ht="14.25"/>
    <row r="7960" ht="14.25"/>
    <row r="7961" ht="14.25"/>
    <row r="7962" ht="14.25"/>
    <row r="7963" ht="14.25"/>
    <row r="7964" ht="14.25"/>
    <row r="7965" ht="14.25"/>
    <row r="7966" ht="14.25"/>
    <row r="7967" ht="14.25"/>
    <row r="7968" ht="14.25"/>
    <row r="7969" ht="14.25"/>
    <row r="7970" ht="14.25"/>
    <row r="7971" ht="14.25"/>
    <row r="7972" ht="14.25"/>
    <row r="7973" ht="14.25"/>
    <row r="7974" ht="14.25"/>
    <row r="7975" ht="14.25"/>
    <row r="7976" ht="14.25"/>
    <row r="7977" ht="14.25"/>
    <row r="7978" ht="14.25"/>
    <row r="7979" ht="14.25"/>
    <row r="7980" ht="14.25"/>
    <row r="7981" ht="14.25"/>
    <row r="7982" ht="14.25"/>
    <row r="7983" ht="14.25"/>
    <row r="7984" ht="14.25"/>
    <row r="7985" ht="14.25"/>
    <row r="7986" ht="14.25"/>
    <row r="7987" ht="14.25"/>
    <row r="7988" ht="14.25"/>
    <row r="7989" ht="14.25"/>
    <row r="7990" ht="14.25"/>
    <row r="7991" ht="14.25"/>
    <row r="7992" ht="14.25"/>
    <row r="7993" ht="14.25"/>
    <row r="7994" ht="14.25"/>
    <row r="7995" ht="14.25"/>
    <row r="7996" ht="14.25"/>
    <row r="7997" ht="14.25"/>
    <row r="7998" ht="14.25"/>
    <row r="7999" ht="14.25"/>
    <row r="8000" ht="14.25"/>
    <row r="8001" ht="14.25"/>
    <row r="8002" ht="14.25"/>
    <row r="8003" ht="14.25"/>
    <row r="8004" ht="14.25"/>
    <row r="8005" ht="14.25"/>
    <row r="8006" ht="14.25"/>
    <row r="8007" ht="14.25"/>
    <row r="8008" ht="14.25"/>
    <row r="8009" ht="14.25"/>
    <row r="8010" ht="14.25"/>
    <row r="8011" ht="14.25"/>
    <row r="8012" ht="14.25"/>
    <row r="8013" ht="14.25"/>
    <row r="8014" ht="14.25"/>
    <row r="8015" ht="14.25"/>
    <row r="8016" ht="14.25"/>
    <row r="8017" ht="14.25"/>
    <row r="8018" ht="14.25"/>
    <row r="8019" ht="14.25"/>
    <row r="8020" ht="14.25"/>
    <row r="8021" ht="14.25"/>
    <row r="8022" ht="14.25"/>
    <row r="8023" ht="14.25"/>
    <row r="8024" ht="14.25"/>
    <row r="8025" ht="14.25"/>
    <row r="8026" ht="14.25"/>
    <row r="8027" ht="14.25"/>
    <row r="8028" ht="14.25"/>
    <row r="8029" ht="14.25"/>
    <row r="8030" ht="14.25"/>
    <row r="8031" ht="14.25"/>
    <row r="8032" ht="14.25"/>
    <row r="8033" ht="14.25"/>
    <row r="8034" ht="14.25"/>
    <row r="8035" ht="14.25"/>
    <row r="8036" ht="14.25"/>
    <row r="8037" ht="14.25"/>
    <row r="8038" ht="14.25"/>
    <row r="8039" ht="14.25"/>
    <row r="8040" ht="14.25"/>
    <row r="8041" ht="14.25"/>
    <row r="8042" ht="14.25"/>
    <row r="8043" ht="14.25"/>
    <row r="8044" ht="14.25"/>
    <row r="8045" ht="14.25"/>
    <row r="8046" ht="14.25"/>
    <row r="8047" ht="14.25"/>
    <row r="8048" ht="14.25"/>
    <row r="8049" ht="14.25"/>
    <row r="8050" ht="14.25"/>
    <row r="8051" ht="14.25"/>
    <row r="8052" ht="14.25"/>
    <row r="8053" ht="14.25"/>
    <row r="8054" ht="14.25"/>
    <row r="8055" ht="14.25"/>
    <row r="8056" ht="14.25"/>
    <row r="8057" ht="14.25"/>
    <row r="8058" ht="14.25"/>
    <row r="8059" ht="14.25"/>
    <row r="8060" ht="14.25"/>
    <row r="8061" ht="14.25"/>
    <row r="8062" ht="14.25"/>
    <row r="8063" ht="14.25"/>
    <row r="8064" ht="14.25"/>
    <row r="8065" ht="14.25"/>
    <row r="8066" ht="14.25"/>
    <row r="8067" ht="14.25"/>
    <row r="8068" ht="14.25"/>
    <row r="8069" ht="14.25"/>
    <row r="8070" ht="14.25"/>
    <row r="8071" ht="14.25"/>
    <row r="8072" ht="14.25"/>
    <row r="8073" ht="14.25"/>
    <row r="8074" ht="14.25"/>
    <row r="8075" ht="14.25"/>
    <row r="8076" ht="14.25"/>
    <row r="8077" ht="14.25"/>
    <row r="8078" ht="14.25"/>
    <row r="8079" ht="14.25"/>
    <row r="8080" ht="14.25"/>
    <row r="8081" ht="14.25"/>
    <row r="8082" ht="14.25"/>
    <row r="8083" ht="14.25"/>
    <row r="8084" ht="14.25"/>
    <row r="8085" ht="14.25"/>
    <row r="8086" ht="14.25"/>
    <row r="8087" ht="14.25"/>
    <row r="8088" ht="14.25"/>
    <row r="8089" ht="14.25"/>
    <row r="8090" ht="14.25"/>
    <row r="8091" ht="14.25"/>
    <row r="8092" ht="14.25"/>
    <row r="8093" ht="14.25"/>
    <row r="8094" ht="14.25"/>
    <row r="8095" ht="14.25"/>
    <row r="8096" ht="14.25"/>
    <row r="8097" ht="14.25"/>
    <row r="8098" ht="14.25"/>
    <row r="8099" ht="14.25"/>
    <row r="8100" ht="14.25"/>
    <row r="8101" ht="14.25"/>
    <row r="8102" ht="14.25"/>
    <row r="8103" ht="14.25"/>
    <row r="8104" ht="14.25"/>
    <row r="8105" ht="14.25"/>
    <row r="8106" ht="14.25"/>
    <row r="8107" ht="14.25"/>
    <row r="8108" ht="14.25"/>
    <row r="8109" ht="14.25"/>
    <row r="8110" ht="14.25"/>
    <row r="8111" ht="14.25"/>
    <row r="8112" ht="14.25"/>
    <row r="8113" ht="14.25"/>
    <row r="8114" ht="14.25"/>
    <row r="8115" ht="14.25"/>
    <row r="8116" ht="14.25"/>
    <row r="8117" ht="14.25"/>
    <row r="8118" ht="14.25"/>
    <row r="8119" ht="14.25"/>
    <row r="8120" ht="14.25"/>
    <row r="8121" ht="14.25"/>
    <row r="8122" ht="14.25"/>
    <row r="8123" ht="14.25"/>
    <row r="8124" ht="14.25"/>
    <row r="8125" ht="14.25"/>
    <row r="8126" ht="14.25"/>
    <row r="8127" ht="14.25"/>
    <row r="8128" ht="14.25"/>
    <row r="8129" ht="14.25"/>
    <row r="8130" ht="14.25"/>
    <row r="8131" ht="14.25"/>
    <row r="8132" ht="14.25"/>
    <row r="8133" ht="14.25"/>
    <row r="8134" ht="14.25"/>
    <row r="8135" ht="14.25"/>
    <row r="8136" ht="14.25"/>
    <row r="8137" ht="14.25"/>
    <row r="8138" ht="14.25"/>
    <row r="8139" ht="14.25"/>
    <row r="8140" ht="14.25"/>
    <row r="8141" ht="14.25"/>
    <row r="8142" ht="14.25"/>
    <row r="8143" ht="14.25"/>
    <row r="8144" ht="14.25"/>
    <row r="8145" ht="14.25"/>
    <row r="8146" ht="14.25"/>
    <row r="8147" ht="14.25"/>
    <row r="8148" ht="14.25"/>
    <row r="8149" ht="14.25"/>
    <row r="8150" ht="14.25"/>
    <row r="8151" ht="14.25"/>
    <row r="8152" ht="14.25"/>
    <row r="8153" ht="14.25"/>
    <row r="8154" ht="14.25"/>
    <row r="8155" ht="14.25"/>
    <row r="8156" ht="14.25"/>
    <row r="8157" ht="14.25"/>
    <row r="8158" ht="14.25"/>
    <row r="8159" ht="14.25"/>
    <row r="8160" ht="14.25"/>
    <row r="8161" ht="14.25"/>
    <row r="8162" ht="14.25"/>
    <row r="8163" ht="14.25"/>
    <row r="8164" ht="14.25"/>
    <row r="8165" ht="14.25"/>
    <row r="8166" ht="14.25"/>
    <row r="8167" ht="14.25"/>
    <row r="8168" ht="14.25"/>
    <row r="8169" ht="14.25"/>
    <row r="8170" ht="14.25"/>
    <row r="8171" ht="14.25"/>
    <row r="8172" ht="14.25"/>
    <row r="8173" ht="14.25"/>
    <row r="8174" ht="14.25"/>
    <row r="8175" ht="14.25"/>
    <row r="8176" ht="14.25"/>
    <row r="8177" ht="14.25"/>
    <row r="8178" ht="14.25"/>
    <row r="8179" ht="14.25"/>
    <row r="8180" ht="14.25"/>
    <row r="8181" ht="14.25"/>
    <row r="8182" ht="14.25"/>
    <row r="8183" ht="14.25"/>
    <row r="8184" ht="14.25"/>
    <row r="8185" ht="14.25"/>
    <row r="8186" ht="14.25"/>
    <row r="8187" ht="14.25"/>
    <row r="8188" ht="14.25"/>
    <row r="8189" ht="14.25"/>
    <row r="8190" ht="14.25"/>
    <row r="8191" ht="14.25"/>
    <row r="8192" ht="14.25"/>
    <row r="8193" ht="14.25"/>
    <row r="8194" ht="14.25"/>
    <row r="8195" ht="14.25"/>
    <row r="8196" ht="14.25"/>
    <row r="8197" ht="14.25"/>
    <row r="8198" ht="14.25"/>
    <row r="8199" ht="14.25"/>
    <row r="8200" ht="14.25"/>
    <row r="8201" ht="14.25"/>
    <row r="8202" ht="14.25"/>
    <row r="8203" ht="14.25"/>
    <row r="8204" ht="14.25"/>
    <row r="8205" ht="14.25"/>
    <row r="8206" ht="14.25"/>
    <row r="8207" ht="14.25"/>
    <row r="8208" ht="14.25"/>
    <row r="8209" ht="14.25"/>
    <row r="8210" ht="14.25"/>
    <row r="8211" ht="14.25"/>
    <row r="8212" ht="14.25"/>
    <row r="8213" ht="14.25"/>
    <row r="8214" ht="14.25"/>
    <row r="8215" ht="14.25"/>
    <row r="8216" ht="14.25"/>
    <row r="8217" ht="14.25"/>
    <row r="8218" ht="14.25"/>
    <row r="8219" ht="14.25"/>
    <row r="8220" ht="14.25"/>
    <row r="8221" ht="14.25"/>
    <row r="8222" ht="14.25"/>
    <row r="8223" ht="14.25"/>
    <row r="8224" ht="14.25"/>
    <row r="8225" ht="14.25"/>
    <row r="8226" ht="14.25"/>
    <row r="8227" ht="14.25"/>
    <row r="8228" ht="14.25"/>
    <row r="8229" ht="14.25"/>
    <row r="8230" ht="14.25"/>
    <row r="8231" ht="14.25"/>
    <row r="8232" ht="14.25"/>
    <row r="8233" ht="14.25"/>
    <row r="8234" ht="14.25"/>
    <row r="8235" ht="14.25"/>
    <row r="8236" ht="14.25"/>
    <row r="8237" ht="14.25"/>
    <row r="8238" ht="14.25"/>
    <row r="8239" ht="14.25"/>
    <row r="8240" ht="14.25"/>
    <row r="8241" ht="14.25"/>
    <row r="8242" ht="14.25"/>
    <row r="8243" ht="14.25"/>
    <row r="8244" ht="14.25"/>
    <row r="8245" ht="14.25"/>
    <row r="8246" ht="14.25"/>
    <row r="8247" ht="14.25"/>
    <row r="8248" ht="14.25"/>
    <row r="8249" ht="14.25"/>
    <row r="8250" ht="14.25"/>
    <row r="8251" ht="14.25"/>
    <row r="8252" ht="14.25"/>
    <row r="8253" ht="14.25"/>
    <row r="8254" ht="14.25"/>
    <row r="8255" ht="14.25"/>
    <row r="8256" ht="14.25"/>
    <row r="8257" ht="14.25"/>
    <row r="8258" ht="14.25"/>
    <row r="8259" ht="14.25"/>
    <row r="8260" ht="14.25"/>
    <row r="8261" ht="14.25"/>
    <row r="8262" ht="14.25"/>
    <row r="8263" ht="14.25"/>
    <row r="8264" ht="14.25"/>
    <row r="8265" ht="14.25"/>
    <row r="8266" ht="14.25"/>
    <row r="8267" ht="14.25"/>
    <row r="8268" ht="14.25"/>
    <row r="8269" ht="14.25"/>
    <row r="8270" ht="14.25"/>
    <row r="8271" ht="14.25"/>
    <row r="8272" ht="14.25"/>
    <row r="8273" ht="14.25"/>
    <row r="8274" ht="14.25"/>
    <row r="8275" ht="14.25"/>
    <row r="8276" ht="14.25"/>
    <row r="8277" ht="14.25"/>
    <row r="8278" ht="14.25"/>
    <row r="8279" ht="14.25"/>
    <row r="8280" ht="14.25"/>
    <row r="8281" ht="14.25"/>
    <row r="8282" ht="14.25"/>
    <row r="8283" ht="14.25"/>
    <row r="8284" ht="14.25"/>
    <row r="8285" ht="14.25"/>
    <row r="8286" ht="14.25"/>
    <row r="8287" ht="14.25"/>
    <row r="8288" ht="14.25"/>
    <row r="8289" ht="14.25"/>
    <row r="8290" ht="14.25"/>
    <row r="8291" ht="14.25"/>
    <row r="8292" ht="14.25"/>
    <row r="8293" ht="14.25"/>
    <row r="8294" ht="14.25"/>
    <row r="8295" ht="14.25"/>
    <row r="8296" ht="14.25"/>
    <row r="8297" ht="14.25"/>
    <row r="8298" ht="14.25"/>
    <row r="8299" ht="14.25"/>
    <row r="8300" ht="14.25"/>
    <row r="8301" ht="14.25"/>
    <row r="8302" ht="14.25"/>
    <row r="8303" ht="14.25"/>
    <row r="8304" ht="14.25"/>
    <row r="8305" ht="14.25"/>
    <row r="8306" ht="14.25"/>
    <row r="8307" ht="14.25"/>
    <row r="8308" ht="14.25"/>
    <row r="8309" ht="14.25"/>
    <row r="8310" ht="14.25"/>
    <row r="8311" ht="14.25"/>
    <row r="8312" ht="14.25"/>
    <row r="8313" ht="14.25"/>
    <row r="8314" ht="14.25"/>
    <row r="8315" ht="14.25"/>
    <row r="8316" ht="14.25"/>
    <row r="8317" ht="14.25"/>
    <row r="8318" ht="14.25"/>
    <row r="8319" ht="14.25"/>
    <row r="8320" ht="14.25"/>
    <row r="8321" ht="14.25"/>
    <row r="8322" ht="14.25"/>
    <row r="8323" ht="14.25"/>
    <row r="8324" ht="14.25"/>
    <row r="8325" ht="14.25"/>
    <row r="8326" ht="14.25"/>
    <row r="8327" ht="14.25"/>
    <row r="8328" ht="14.25"/>
    <row r="8329" ht="14.25"/>
    <row r="8330" ht="14.25"/>
    <row r="8331" ht="14.25"/>
    <row r="8332" ht="14.25"/>
    <row r="8333" ht="14.25"/>
    <row r="8334" ht="14.25"/>
    <row r="8335" ht="14.25"/>
    <row r="8336" ht="14.25"/>
    <row r="8337" ht="14.25"/>
    <row r="8338" ht="14.25"/>
    <row r="8339" ht="14.25"/>
    <row r="8340" ht="14.25"/>
    <row r="8341" ht="14.25"/>
    <row r="8342" ht="14.25"/>
    <row r="8343" ht="14.25"/>
    <row r="8344" ht="14.25"/>
    <row r="8345" ht="14.25"/>
    <row r="8346" ht="14.25"/>
    <row r="8347" ht="14.25"/>
    <row r="8348" ht="14.25"/>
    <row r="8349" ht="14.25"/>
    <row r="8350" ht="14.25"/>
    <row r="8351" ht="14.25"/>
    <row r="8352" ht="14.25"/>
    <row r="8353" ht="14.25"/>
    <row r="8354" ht="14.25"/>
    <row r="8355" ht="14.25"/>
    <row r="8356" ht="14.25"/>
    <row r="8357" ht="14.25"/>
    <row r="8358" ht="14.25"/>
    <row r="8359" ht="14.25"/>
    <row r="8360" ht="14.25"/>
    <row r="8361" ht="14.25"/>
    <row r="8362" ht="14.25"/>
    <row r="8363" ht="14.25"/>
    <row r="8364" ht="14.25"/>
    <row r="8365" ht="14.25"/>
    <row r="8366" ht="14.25"/>
    <row r="8367" ht="14.25"/>
    <row r="8368" ht="14.25"/>
    <row r="8369" ht="14.25"/>
    <row r="8370" ht="14.25"/>
    <row r="8371" ht="14.25"/>
    <row r="8372" ht="14.25"/>
    <row r="8373" ht="14.25"/>
    <row r="8374" ht="14.25"/>
    <row r="8375" ht="14.25"/>
    <row r="8376" ht="14.25"/>
    <row r="8377" ht="14.25"/>
    <row r="8378" ht="14.25"/>
    <row r="8379" ht="14.25"/>
    <row r="8380" ht="14.25"/>
    <row r="8381" ht="14.25"/>
    <row r="8382" ht="14.25"/>
    <row r="8383" ht="14.25"/>
    <row r="8384" ht="14.25"/>
    <row r="8385" ht="14.25"/>
    <row r="8386" ht="14.25"/>
    <row r="8387" ht="14.25"/>
    <row r="8388" ht="14.25"/>
    <row r="8389" ht="14.25"/>
    <row r="8390" ht="14.25"/>
    <row r="8391" ht="14.25"/>
    <row r="8392" ht="14.25"/>
    <row r="8393" ht="14.25"/>
    <row r="8394" ht="14.25"/>
    <row r="8395" ht="14.25"/>
    <row r="8396" ht="14.25"/>
    <row r="8397" ht="14.25"/>
    <row r="8398" ht="14.25"/>
    <row r="8399" ht="14.25"/>
    <row r="8400" ht="14.25"/>
    <row r="8401" ht="14.25"/>
    <row r="8402" ht="14.25"/>
    <row r="8403" ht="14.25"/>
    <row r="8404" ht="14.25"/>
    <row r="8405" ht="14.25"/>
    <row r="8406" ht="14.25"/>
    <row r="8407" ht="14.25"/>
    <row r="8408" ht="14.25"/>
    <row r="8409" ht="14.25"/>
    <row r="8410" ht="14.25"/>
    <row r="8411" ht="14.25"/>
    <row r="8412" ht="14.25"/>
    <row r="8413" ht="14.25"/>
    <row r="8414" ht="14.25"/>
    <row r="8415" ht="14.25"/>
    <row r="8416" ht="14.25"/>
    <row r="8417" ht="14.25"/>
    <row r="8418" ht="14.25"/>
    <row r="8419" ht="14.25"/>
    <row r="8420" ht="14.25"/>
    <row r="8421" ht="14.25"/>
    <row r="8422" ht="14.25"/>
    <row r="8423" ht="14.25"/>
    <row r="8424" ht="14.25"/>
    <row r="8425" ht="14.25"/>
    <row r="8426" ht="14.25"/>
    <row r="8427" ht="14.25"/>
    <row r="8428" ht="14.25"/>
    <row r="8429" ht="14.25"/>
    <row r="8430" ht="14.25"/>
    <row r="8431" ht="14.25"/>
    <row r="8432" ht="14.25"/>
    <row r="8433" ht="14.25"/>
    <row r="8434" ht="14.25"/>
    <row r="8435" ht="14.25"/>
    <row r="8436" ht="14.25"/>
    <row r="8437" ht="14.25"/>
    <row r="8438" ht="14.25"/>
    <row r="8439" ht="14.25"/>
    <row r="8440" ht="14.25"/>
    <row r="8441" ht="14.25"/>
    <row r="8442" ht="14.25"/>
    <row r="8443" ht="14.25"/>
    <row r="8444" ht="14.25"/>
    <row r="8445" ht="14.25"/>
    <row r="8446" ht="14.25"/>
    <row r="8447" ht="14.25"/>
    <row r="8448" ht="14.25"/>
    <row r="8449" ht="14.25"/>
    <row r="8450" ht="14.25"/>
    <row r="8451" ht="14.25"/>
    <row r="8452" ht="14.25"/>
    <row r="8453" ht="14.25"/>
    <row r="8454" ht="14.25"/>
    <row r="8455" ht="14.25"/>
    <row r="8456" ht="14.25"/>
    <row r="8457" ht="14.25"/>
    <row r="8458" ht="14.25"/>
    <row r="8459" ht="14.25"/>
    <row r="8460" ht="14.25"/>
    <row r="8461" ht="14.25"/>
    <row r="8462" ht="14.25"/>
    <row r="8463" ht="14.25"/>
    <row r="8464" ht="14.25"/>
    <row r="8465" ht="14.25"/>
    <row r="8466" ht="14.25"/>
    <row r="8467" ht="14.25"/>
    <row r="8468" ht="14.25"/>
    <row r="8469" ht="14.25"/>
    <row r="8470" ht="14.25"/>
    <row r="8471" ht="14.25"/>
    <row r="8472" ht="14.25"/>
    <row r="8473" ht="14.25"/>
    <row r="8474" ht="14.25"/>
    <row r="8475" ht="14.25"/>
    <row r="8476" ht="14.25"/>
    <row r="8477" ht="14.25"/>
    <row r="8478" ht="14.25"/>
    <row r="8479" ht="14.25"/>
    <row r="8480" ht="14.25"/>
    <row r="8481" ht="14.25"/>
    <row r="8482" ht="14.25"/>
    <row r="8483" ht="14.25"/>
    <row r="8484" ht="14.25"/>
    <row r="8485" ht="14.25"/>
    <row r="8486" ht="14.25"/>
    <row r="8487" ht="14.25"/>
    <row r="8488" ht="14.25"/>
    <row r="8489" ht="14.25"/>
    <row r="8490" ht="14.25"/>
    <row r="8491" ht="14.25"/>
    <row r="8492" ht="14.25"/>
    <row r="8493" ht="14.25"/>
    <row r="8494" ht="14.25"/>
    <row r="8495" ht="14.25"/>
    <row r="8496" ht="14.25"/>
    <row r="8497" ht="14.25"/>
    <row r="8498" ht="14.25"/>
    <row r="8499" ht="14.25"/>
    <row r="8500" ht="14.25"/>
    <row r="8501" ht="14.25"/>
    <row r="8502" ht="14.25"/>
    <row r="8503" ht="14.25"/>
    <row r="8504" ht="14.25"/>
    <row r="8505" ht="14.25"/>
    <row r="8506" ht="14.25"/>
    <row r="8507" ht="14.25"/>
    <row r="8508" ht="14.25"/>
    <row r="8509" ht="14.25"/>
    <row r="8510" ht="14.25"/>
    <row r="8511" ht="14.25"/>
    <row r="8512" ht="14.25"/>
    <row r="8513" ht="14.25"/>
    <row r="8514" ht="14.25"/>
    <row r="8515" ht="14.25"/>
    <row r="8516" ht="14.25"/>
    <row r="8517" ht="14.25"/>
    <row r="8518" ht="14.25"/>
    <row r="8519" ht="14.25"/>
    <row r="8520" ht="14.25"/>
    <row r="8521" ht="14.25"/>
    <row r="8522" ht="14.25"/>
    <row r="8523" ht="14.25"/>
    <row r="8524" ht="14.25"/>
    <row r="8525" ht="14.25"/>
    <row r="8526" ht="14.25"/>
    <row r="8527" ht="14.25"/>
    <row r="8528" ht="14.25"/>
    <row r="8529" ht="14.25"/>
    <row r="8530" ht="14.25"/>
    <row r="8531" ht="14.25"/>
    <row r="8532" ht="14.25"/>
    <row r="8533" ht="14.25"/>
    <row r="8534" ht="14.25"/>
    <row r="8535" ht="14.25"/>
    <row r="8536" ht="14.25"/>
    <row r="8537" ht="14.25"/>
    <row r="8538" ht="14.25"/>
    <row r="8539" ht="14.25"/>
    <row r="8540" ht="14.25"/>
    <row r="8541" ht="14.25"/>
    <row r="8542" ht="14.25"/>
    <row r="8543" ht="14.25"/>
    <row r="8544" ht="14.25"/>
    <row r="8545" ht="14.25"/>
    <row r="8546" ht="14.25"/>
    <row r="8547" ht="14.25"/>
    <row r="8548" ht="14.25"/>
    <row r="8549" ht="14.25"/>
    <row r="8550" ht="14.25"/>
    <row r="8551" ht="14.25"/>
    <row r="8552" ht="14.25"/>
    <row r="8553" ht="14.25"/>
    <row r="8554" ht="14.25"/>
    <row r="8555" ht="14.25"/>
    <row r="8556" ht="14.25"/>
    <row r="8557" ht="14.25"/>
    <row r="8558" ht="14.25"/>
    <row r="8559" ht="14.25"/>
    <row r="8560" ht="14.25"/>
    <row r="8561" ht="14.25"/>
    <row r="8562" ht="14.25"/>
    <row r="8563" ht="14.25"/>
    <row r="8564" ht="14.25"/>
    <row r="8565" ht="14.25"/>
    <row r="8566" ht="14.25"/>
    <row r="8567" ht="14.25"/>
    <row r="8568" ht="14.25"/>
    <row r="8569" ht="14.25"/>
    <row r="8570" ht="14.25"/>
    <row r="8571" ht="14.25"/>
    <row r="8572" ht="14.25"/>
    <row r="8573" ht="14.25"/>
    <row r="8574" ht="14.25"/>
    <row r="8575" ht="14.25"/>
    <row r="8576" ht="14.25"/>
    <row r="8577" ht="14.25"/>
    <row r="8578" ht="14.25"/>
    <row r="8579" ht="14.25"/>
    <row r="8580" ht="14.25"/>
    <row r="8581" ht="14.25"/>
    <row r="8582" ht="14.25"/>
    <row r="8583" ht="14.25"/>
    <row r="8584" ht="14.25"/>
    <row r="8585" ht="14.25"/>
    <row r="8586" ht="14.25"/>
    <row r="8587" ht="14.25"/>
    <row r="8588" ht="14.25"/>
    <row r="8589" ht="14.25"/>
    <row r="8590" ht="14.25"/>
    <row r="8591" ht="14.25"/>
    <row r="8592" ht="14.25"/>
    <row r="8593" ht="14.25"/>
    <row r="8594" ht="14.25"/>
    <row r="8595" ht="14.25"/>
    <row r="8596" ht="14.25"/>
    <row r="8597" ht="14.25"/>
    <row r="8598" ht="14.25"/>
    <row r="8599" ht="14.25"/>
    <row r="8600" ht="14.25"/>
    <row r="8601" ht="14.25"/>
    <row r="8602" ht="14.25"/>
    <row r="8603" ht="14.25"/>
    <row r="8604" ht="14.25"/>
    <row r="8605" ht="14.25"/>
    <row r="8606" ht="14.25"/>
    <row r="8607" ht="14.25"/>
    <row r="8608" ht="14.25"/>
    <row r="8609" ht="14.25"/>
    <row r="8610" ht="14.25"/>
    <row r="8611" ht="14.25"/>
    <row r="8612" ht="14.25"/>
    <row r="8613" ht="14.25"/>
    <row r="8614" ht="14.25"/>
    <row r="8615" ht="14.25"/>
    <row r="8616" ht="14.25"/>
    <row r="8617" ht="14.25"/>
    <row r="8618" ht="14.25"/>
    <row r="8619" ht="14.25"/>
    <row r="8620" ht="14.25"/>
    <row r="8621" ht="14.25"/>
    <row r="8622" ht="14.25"/>
    <row r="8623" ht="14.25"/>
    <row r="8624" ht="14.25"/>
    <row r="8625" ht="14.25"/>
    <row r="8626" ht="14.25"/>
    <row r="8627" ht="14.25"/>
    <row r="8628" ht="14.25"/>
    <row r="8629" ht="14.25"/>
    <row r="8630" ht="14.25"/>
    <row r="8631" ht="14.25"/>
    <row r="8632" ht="14.25"/>
    <row r="8633" ht="14.25"/>
    <row r="8634" ht="14.25"/>
    <row r="8635" ht="14.25"/>
    <row r="8636" ht="14.25"/>
    <row r="8637" ht="14.25"/>
    <row r="8638" ht="14.25"/>
    <row r="8639" ht="14.25"/>
    <row r="8640" ht="14.25"/>
    <row r="8641" ht="14.25"/>
    <row r="8642" ht="14.25"/>
    <row r="8643" ht="14.25"/>
    <row r="8644" ht="14.25"/>
    <row r="8645" ht="14.25"/>
    <row r="8646" ht="14.25"/>
    <row r="8647" ht="14.25"/>
    <row r="8648" ht="14.25"/>
    <row r="8649" ht="14.25"/>
    <row r="8650" ht="14.25"/>
    <row r="8651" ht="14.25"/>
    <row r="8652" ht="14.25"/>
    <row r="8653" ht="14.25"/>
    <row r="8654" ht="14.25"/>
    <row r="8655" ht="14.25"/>
    <row r="8656" ht="14.25"/>
    <row r="8657" ht="14.25"/>
    <row r="8658" ht="14.25"/>
    <row r="8659" ht="14.25"/>
    <row r="8660" ht="14.25"/>
    <row r="8661" ht="14.25"/>
    <row r="8662" ht="14.25"/>
    <row r="8663" ht="14.25"/>
    <row r="8664" ht="14.25"/>
    <row r="8665" ht="14.25"/>
    <row r="8666" ht="14.25"/>
    <row r="8667" ht="14.25"/>
    <row r="8668" ht="14.25"/>
    <row r="8669" ht="14.25"/>
    <row r="8670" ht="14.25"/>
    <row r="8671" ht="14.25"/>
    <row r="8672" ht="14.25"/>
    <row r="8673" ht="14.25"/>
    <row r="8674" ht="14.25"/>
    <row r="8675" ht="14.25"/>
    <row r="8676" ht="14.25"/>
    <row r="8677" ht="14.25"/>
    <row r="8678" ht="14.25"/>
    <row r="8679" ht="14.25"/>
    <row r="8680" ht="14.25"/>
    <row r="8681" ht="14.25"/>
    <row r="8682" ht="14.25"/>
    <row r="8683" ht="14.25"/>
    <row r="8684" ht="14.25"/>
    <row r="8685" ht="14.25"/>
    <row r="8686" ht="14.25"/>
    <row r="8687" ht="14.25"/>
    <row r="8688" ht="14.25"/>
    <row r="8689" ht="14.25"/>
    <row r="8690" ht="14.25"/>
    <row r="8691" ht="14.25"/>
    <row r="8692" ht="14.25"/>
    <row r="8693" ht="14.25"/>
    <row r="8694" ht="14.25"/>
    <row r="8695" ht="14.25"/>
    <row r="8696" ht="14.25"/>
    <row r="8697" ht="14.25"/>
    <row r="8698" ht="14.25"/>
    <row r="8699" ht="14.25"/>
    <row r="8700" ht="14.25"/>
    <row r="8701" ht="14.25"/>
    <row r="8702" ht="14.25"/>
    <row r="8703" ht="14.25"/>
    <row r="8704" ht="14.25"/>
    <row r="8705" ht="14.25"/>
    <row r="8706" ht="14.25"/>
    <row r="8707" ht="14.25"/>
    <row r="8708" ht="14.25"/>
    <row r="8709" ht="14.25"/>
    <row r="8710" ht="14.25"/>
    <row r="8711" ht="14.25"/>
    <row r="8712" ht="14.25"/>
    <row r="8713" ht="14.25"/>
    <row r="8714" ht="14.25"/>
    <row r="8715" ht="14.25"/>
    <row r="8716" ht="14.25"/>
    <row r="8717" ht="14.25"/>
    <row r="8718" ht="14.25"/>
    <row r="8719" ht="14.25"/>
    <row r="8720" ht="14.25"/>
    <row r="8721" ht="14.25"/>
    <row r="8722" ht="14.25"/>
    <row r="8723" ht="14.25"/>
    <row r="8724" ht="14.25"/>
    <row r="8725" ht="14.25"/>
    <row r="8726" ht="14.25"/>
    <row r="8727" ht="14.25"/>
    <row r="8728" ht="14.25"/>
    <row r="8729" ht="14.25"/>
    <row r="8730" ht="14.25"/>
    <row r="8731" ht="14.25"/>
    <row r="8732" ht="14.25"/>
    <row r="8733" ht="14.25"/>
    <row r="8734" ht="14.25"/>
    <row r="8735" ht="14.25"/>
    <row r="8736" ht="14.25"/>
    <row r="8737" ht="14.25"/>
    <row r="8738" ht="14.25"/>
    <row r="8739" ht="14.25"/>
    <row r="8740" ht="14.25"/>
    <row r="8741" ht="14.25"/>
    <row r="8742" ht="14.25"/>
    <row r="8743" ht="14.25"/>
    <row r="8744" ht="14.25"/>
    <row r="8745" ht="14.25"/>
    <row r="8746" ht="14.25"/>
    <row r="8747" ht="14.25"/>
    <row r="8748" ht="14.25"/>
    <row r="8749" ht="14.25"/>
    <row r="8750" ht="14.25"/>
    <row r="8751" ht="14.25"/>
    <row r="8752" ht="14.25"/>
    <row r="8753" ht="14.25"/>
    <row r="8754" ht="14.25"/>
    <row r="8755" ht="14.25"/>
    <row r="8756" ht="14.25"/>
    <row r="8757" ht="14.25"/>
    <row r="8758" ht="14.25"/>
    <row r="8759" ht="14.25"/>
    <row r="8760" ht="14.25"/>
    <row r="8761" ht="14.25"/>
    <row r="8762" ht="14.25"/>
    <row r="8763" ht="14.25"/>
    <row r="8764" ht="14.25"/>
    <row r="8765" ht="14.25"/>
    <row r="8766" ht="14.25"/>
    <row r="8767" ht="14.25"/>
    <row r="8768" ht="14.25"/>
    <row r="8769" ht="14.25"/>
    <row r="8770" ht="14.25"/>
    <row r="8771" ht="14.25"/>
    <row r="8772" ht="14.25"/>
    <row r="8773" ht="14.25"/>
    <row r="8774" ht="14.25"/>
    <row r="8775" ht="14.25"/>
    <row r="8776" ht="14.25"/>
    <row r="8777" ht="14.25"/>
    <row r="8778" ht="14.25"/>
    <row r="8779" ht="14.25"/>
    <row r="8780" ht="14.25"/>
    <row r="8781" ht="14.25"/>
    <row r="8782" ht="14.25"/>
    <row r="8783" ht="14.25"/>
    <row r="8784" ht="14.25"/>
    <row r="8785" ht="14.25"/>
    <row r="8786" ht="14.25"/>
    <row r="8787" ht="14.25"/>
    <row r="8788" ht="14.25"/>
    <row r="8789" ht="14.25"/>
    <row r="8790" ht="14.25"/>
    <row r="8791" ht="14.25"/>
    <row r="8792" ht="14.25"/>
    <row r="8793" ht="14.25"/>
    <row r="8794" ht="14.25"/>
    <row r="8795" ht="14.25"/>
    <row r="8796" ht="14.25"/>
    <row r="8797" ht="14.25"/>
    <row r="8798" ht="14.25"/>
    <row r="8799" ht="14.25"/>
    <row r="8800" ht="14.25"/>
    <row r="8801" ht="14.25"/>
    <row r="8802" ht="14.25"/>
    <row r="8803" ht="14.25"/>
    <row r="8804" ht="14.25"/>
    <row r="8805" ht="14.25"/>
    <row r="8806" ht="14.25"/>
    <row r="8807" ht="14.25"/>
    <row r="8808" ht="14.25"/>
    <row r="8809" ht="14.25"/>
    <row r="8810" ht="14.25"/>
    <row r="8811" ht="14.25"/>
    <row r="8812" ht="14.25"/>
    <row r="8813" ht="14.25"/>
    <row r="8814" ht="14.25"/>
    <row r="8815" ht="14.25"/>
    <row r="8816" ht="14.25"/>
    <row r="8817" ht="14.25"/>
    <row r="8818" ht="14.25"/>
    <row r="8819" ht="14.25"/>
    <row r="8820" ht="14.25"/>
    <row r="8821" ht="14.25"/>
    <row r="8822" ht="14.25"/>
    <row r="8823" ht="14.25"/>
    <row r="8824" ht="14.25"/>
    <row r="8825" ht="14.25"/>
    <row r="8826" ht="14.25"/>
    <row r="8827" ht="14.25"/>
    <row r="8828" ht="14.25"/>
    <row r="8829" ht="14.25"/>
    <row r="8830" ht="14.25"/>
    <row r="8831" ht="14.25"/>
    <row r="8832" ht="14.25"/>
    <row r="8833" ht="14.25"/>
    <row r="8834" ht="14.25"/>
    <row r="8835" ht="14.25"/>
    <row r="8836" ht="14.25"/>
    <row r="8837" ht="14.25"/>
    <row r="8838" ht="14.25"/>
    <row r="8839" ht="14.25"/>
    <row r="8840" ht="14.25"/>
    <row r="8841" ht="14.25"/>
    <row r="8842" ht="14.25"/>
    <row r="8843" ht="14.25"/>
    <row r="8844" ht="14.25"/>
    <row r="8845" ht="14.25"/>
    <row r="8846" ht="14.25"/>
    <row r="8847" ht="14.25"/>
    <row r="8848" ht="14.25"/>
    <row r="8849" ht="14.25"/>
    <row r="8850" ht="14.25"/>
    <row r="8851" ht="14.25"/>
    <row r="8852" ht="14.25"/>
    <row r="8853" ht="14.25"/>
    <row r="8854" ht="14.25"/>
    <row r="8855" ht="14.25"/>
    <row r="8856" ht="14.25"/>
    <row r="8857" ht="14.25"/>
    <row r="8858" ht="14.25"/>
    <row r="8859" ht="14.25"/>
    <row r="8860" ht="14.25"/>
    <row r="8861" ht="14.25"/>
    <row r="8862" ht="14.25"/>
    <row r="8863" ht="14.25"/>
    <row r="8864" ht="14.25"/>
    <row r="8865" ht="14.25"/>
    <row r="8866" ht="14.25"/>
    <row r="8867" ht="14.25"/>
    <row r="8868" ht="14.25"/>
    <row r="8869" ht="14.25"/>
    <row r="8870" ht="14.25"/>
    <row r="8871" ht="14.25"/>
    <row r="8872" ht="14.25"/>
    <row r="8873" ht="14.25"/>
    <row r="8874" ht="14.25"/>
    <row r="8875" ht="14.25"/>
    <row r="8876" ht="14.25"/>
    <row r="8877" ht="14.25"/>
    <row r="8878" ht="14.25"/>
    <row r="8879" ht="14.25"/>
    <row r="8880" ht="14.25"/>
    <row r="8881" ht="14.25"/>
    <row r="8882" ht="14.25"/>
    <row r="8883" ht="14.25"/>
    <row r="8884" ht="14.25"/>
    <row r="8885" ht="14.25"/>
    <row r="8886" ht="14.25"/>
    <row r="8887" ht="14.25"/>
    <row r="8888" ht="14.25"/>
    <row r="8889" ht="14.25"/>
    <row r="8890" ht="14.25"/>
    <row r="8891" ht="14.25"/>
    <row r="8892" ht="14.25"/>
    <row r="8893" ht="14.25"/>
    <row r="8894" ht="14.25"/>
    <row r="8895" ht="14.25"/>
    <row r="8896" ht="14.25"/>
    <row r="8897" ht="14.25"/>
    <row r="8898" ht="14.25"/>
    <row r="8899" ht="14.25"/>
    <row r="8900" ht="14.25"/>
    <row r="8901" ht="14.25"/>
    <row r="8902" ht="14.25"/>
    <row r="8903" ht="14.25"/>
    <row r="8904" ht="14.25"/>
    <row r="8905" ht="14.25"/>
    <row r="8906" ht="14.25"/>
    <row r="8907" ht="14.25"/>
    <row r="8908" ht="14.25"/>
    <row r="8909" ht="14.25"/>
    <row r="8910" ht="14.25"/>
    <row r="8911" ht="14.25"/>
    <row r="8912" ht="14.25"/>
    <row r="8913" ht="14.25"/>
    <row r="8914" ht="14.25"/>
    <row r="8915" ht="14.25"/>
    <row r="8916" ht="14.25"/>
    <row r="8917" ht="14.25"/>
    <row r="8918" ht="14.25"/>
    <row r="8919" ht="14.25"/>
    <row r="8920" ht="14.25"/>
    <row r="8921" ht="14.25"/>
    <row r="8922" ht="14.25"/>
    <row r="8923" ht="14.25"/>
    <row r="8924" ht="14.25"/>
    <row r="8925" ht="14.25"/>
    <row r="8926" ht="14.25"/>
    <row r="8927" ht="14.25"/>
    <row r="8928" ht="14.25"/>
    <row r="8929" ht="14.25"/>
    <row r="8930" ht="14.25"/>
    <row r="8931" ht="14.25"/>
    <row r="8932" ht="14.25"/>
    <row r="8933" ht="14.25"/>
    <row r="8934" ht="14.25"/>
    <row r="8935" ht="14.25"/>
    <row r="8936" ht="14.25"/>
    <row r="8937" ht="14.25"/>
    <row r="8938" ht="14.25"/>
    <row r="8939" ht="14.25"/>
    <row r="8940" ht="14.25"/>
    <row r="8941" ht="14.25"/>
    <row r="8942" ht="14.25"/>
    <row r="8943" ht="14.25"/>
    <row r="8944" ht="14.25"/>
    <row r="8945" ht="14.25"/>
    <row r="8946" ht="14.25"/>
    <row r="8947" ht="14.25"/>
    <row r="8948" ht="14.25"/>
    <row r="8949" ht="14.25"/>
    <row r="8950" ht="14.25"/>
    <row r="8951" ht="14.25"/>
    <row r="8952" ht="14.25"/>
    <row r="8953" ht="14.25"/>
    <row r="8954" ht="14.25"/>
    <row r="8955" ht="14.25"/>
    <row r="8956" ht="14.25"/>
    <row r="8957" ht="14.25"/>
    <row r="8958" ht="14.25"/>
    <row r="8959" ht="14.25"/>
    <row r="8960" ht="14.25"/>
    <row r="8961" ht="14.25"/>
    <row r="8962" ht="14.25"/>
    <row r="8963" ht="14.25"/>
    <row r="8964" ht="14.25"/>
    <row r="8965" ht="14.25"/>
    <row r="8966" ht="14.25"/>
    <row r="8967" ht="14.25"/>
    <row r="8968" ht="14.25"/>
    <row r="8969" ht="14.25"/>
    <row r="8970" ht="14.25"/>
    <row r="8971" ht="14.25"/>
    <row r="8972" ht="14.25"/>
    <row r="8973" ht="14.25"/>
    <row r="8974" ht="14.25"/>
    <row r="8975" ht="14.25"/>
    <row r="8976" ht="14.25"/>
    <row r="8977" ht="14.25"/>
    <row r="8978" ht="14.25"/>
    <row r="8979" ht="14.25"/>
    <row r="8980" ht="14.25"/>
    <row r="8981" ht="14.25"/>
    <row r="8982" ht="14.25"/>
    <row r="8983" ht="14.25"/>
    <row r="8984" ht="14.25"/>
    <row r="8985" ht="14.25"/>
    <row r="8986" ht="14.25"/>
    <row r="8987" ht="14.25"/>
    <row r="8988" ht="14.25"/>
    <row r="8989" ht="14.25"/>
    <row r="8990" ht="14.25"/>
    <row r="8991" ht="14.25"/>
    <row r="8992" ht="14.25"/>
    <row r="8993" ht="14.25"/>
    <row r="8994" ht="14.25"/>
    <row r="8995" ht="14.25"/>
    <row r="8996" ht="14.25"/>
    <row r="8997" ht="14.25"/>
    <row r="8998" ht="14.25"/>
    <row r="8999" ht="14.25"/>
    <row r="9000" ht="14.25"/>
    <row r="9001" ht="14.25"/>
    <row r="9002" ht="14.25"/>
    <row r="9003" ht="14.25"/>
    <row r="9004" ht="14.25"/>
    <row r="9005" ht="14.25"/>
    <row r="9006" ht="14.25"/>
    <row r="9007" ht="14.25"/>
    <row r="9008" ht="14.25"/>
    <row r="9009" ht="14.25"/>
    <row r="9010" ht="14.25"/>
    <row r="9011" ht="14.25"/>
    <row r="9012" ht="14.25"/>
    <row r="9013" ht="14.25"/>
    <row r="9014" ht="14.25"/>
    <row r="9015" ht="14.25"/>
    <row r="9016" ht="14.25"/>
    <row r="9017" ht="14.25"/>
    <row r="9018" ht="14.25"/>
    <row r="9019" ht="14.25"/>
    <row r="9020" ht="14.25"/>
    <row r="9021" ht="14.25"/>
    <row r="9022" ht="14.25"/>
    <row r="9023" ht="14.25"/>
    <row r="9024" ht="14.25"/>
    <row r="9025" ht="14.25"/>
    <row r="9026" ht="14.25"/>
    <row r="9027" ht="14.25"/>
    <row r="9028" ht="14.25"/>
    <row r="9029" ht="14.25"/>
    <row r="9030" ht="14.25"/>
    <row r="9031" ht="14.25"/>
    <row r="9032" ht="14.25"/>
    <row r="9033" ht="14.25"/>
    <row r="9034" ht="14.25"/>
    <row r="9035" ht="14.25"/>
    <row r="9036" ht="14.25"/>
    <row r="9037" ht="14.25"/>
    <row r="9038" ht="14.25"/>
    <row r="9039" ht="14.25"/>
    <row r="9040" ht="14.25"/>
    <row r="9041" ht="14.25"/>
    <row r="9042" ht="14.25"/>
    <row r="9043" ht="14.25"/>
    <row r="9044" ht="14.25"/>
    <row r="9045" ht="14.25"/>
    <row r="9046" ht="14.25"/>
    <row r="9047" ht="14.25"/>
    <row r="9048" ht="14.25"/>
    <row r="9049" ht="14.25"/>
    <row r="9050" ht="14.25"/>
    <row r="9051" ht="14.25"/>
    <row r="9052" ht="14.25"/>
    <row r="9053" ht="14.25"/>
    <row r="9054" ht="14.25"/>
    <row r="9055" ht="14.25"/>
    <row r="9056" ht="14.25"/>
    <row r="9057" ht="14.25"/>
    <row r="9058" ht="14.25"/>
    <row r="9059" ht="14.25"/>
    <row r="9060" ht="14.25"/>
    <row r="9061" ht="14.25"/>
    <row r="9062" ht="14.25"/>
    <row r="9063" ht="14.25"/>
    <row r="9064" ht="14.25"/>
    <row r="9065" ht="14.25"/>
    <row r="9066" ht="14.25"/>
    <row r="9067" ht="14.25"/>
    <row r="9068" ht="14.25"/>
    <row r="9069" ht="14.25"/>
    <row r="9070" ht="14.25"/>
    <row r="9071" ht="14.25"/>
    <row r="9072" ht="14.25"/>
    <row r="9073" ht="14.25"/>
    <row r="9074" ht="14.25"/>
    <row r="9075" ht="14.25"/>
    <row r="9076" ht="14.25"/>
    <row r="9077" ht="14.25"/>
    <row r="9078" ht="14.25"/>
    <row r="9079" ht="14.25"/>
    <row r="9080" ht="14.25"/>
    <row r="9081" ht="14.25"/>
    <row r="9082" ht="14.25"/>
    <row r="9083" ht="14.25"/>
    <row r="9084" ht="14.25"/>
    <row r="9085" ht="14.25"/>
    <row r="9086" ht="14.25"/>
    <row r="9087" ht="14.25"/>
    <row r="9088" ht="14.25"/>
    <row r="9089" ht="14.25"/>
    <row r="9090" ht="14.25"/>
    <row r="9091" ht="14.25"/>
    <row r="9092" ht="14.25"/>
    <row r="9093" ht="14.25"/>
    <row r="9094" ht="14.25"/>
    <row r="9095" ht="14.25"/>
    <row r="9096" ht="14.25"/>
    <row r="9097" ht="14.25"/>
    <row r="9098" ht="14.25"/>
    <row r="9099" ht="14.25"/>
    <row r="9100" ht="14.25"/>
    <row r="9101" ht="14.25"/>
    <row r="9102" ht="14.25"/>
    <row r="9103" ht="14.25"/>
    <row r="9104" ht="14.25"/>
    <row r="9105" ht="14.25"/>
    <row r="9106" ht="14.25"/>
    <row r="9107" ht="14.25"/>
    <row r="9108" ht="14.25"/>
    <row r="9109" ht="14.25"/>
    <row r="9110" ht="14.25"/>
    <row r="9111" ht="14.25"/>
    <row r="9112" ht="14.25"/>
    <row r="9113" ht="14.25"/>
    <row r="9114" ht="14.25"/>
    <row r="9115" ht="14.25"/>
    <row r="9116" ht="14.25"/>
    <row r="9117" ht="14.25"/>
    <row r="9118" ht="14.25"/>
    <row r="9119" ht="14.25"/>
    <row r="9120" ht="14.25"/>
    <row r="9121" ht="14.25"/>
    <row r="9122" ht="14.25"/>
    <row r="9123" ht="14.25"/>
    <row r="9124" ht="14.25"/>
    <row r="9125" ht="14.25"/>
    <row r="9126" ht="14.25"/>
    <row r="9127" ht="14.25"/>
    <row r="9128" ht="14.25"/>
    <row r="9129" ht="14.25"/>
    <row r="9130" ht="14.25"/>
    <row r="9131" ht="14.25"/>
    <row r="9132" ht="14.25"/>
    <row r="9133" ht="14.25"/>
    <row r="9134" ht="14.25"/>
    <row r="9135" ht="14.25"/>
    <row r="9136" ht="14.25"/>
    <row r="9137" ht="14.25"/>
    <row r="9138" ht="14.25"/>
    <row r="9139" ht="14.25"/>
    <row r="9140" ht="14.25"/>
    <row r="9141" ht="14.25"/>
    <row r="9142" ht="14.25"/>
    <row r="9143" ht="14.25"/>
    <row r="9144" ht="14.25"/>
    <row r="9145" ht="14.25"/>
    <row r="9146" ht="14.25"/>
    <row r="9147" ht="14.25"/>
    <row r="9148" ht="14.25"/>
    <row r="9149" ht="14.25"/>
    <row r="9150" ht="14.25"/>
    <row r="9151" ht="14.25"/>
    <row r="9152" ht="14.25"/>
    <row r="9153" ht="14.25"/>
    <row r="9154" ht="14.25"/>
    <row r="9155" ht="14.25"/>
    <row r="9156" ht="14.25"/>
    <row r="9157" ht="14.25"/>
    <row r="9158" ht="14.25"/>
    <row r="9159" ht="14.25"/>
    <row r="9160" ht="14.25"/>
    <row r="9161" ht="14.25"/>
    <row r="9162" ht="14.25"/>
    <row r="9163" ht="14.25"/>
    <row r="9164" ht="14.25"/>
    <row r="9165" ht="14.25"/>
    <row r="9166" ht="14.25"/>
    <row r="9167" ht="14.25"/>
    <row r="9168" ht="14.25"/>
    <row r="9169" ht="14.25"/>
    <row r="9170" ht="14.25"/>
    <row r="9171" ht="14.25"/>
    <row r="9172" ht="14.25"/>
    <row r="9173" ht="14.25"/>
    <row r="9174" ht="14.25"/>
    <row r="9175" ht="14.25"/>
    <row r="9176" ht="14.25"/>
    <row r="9177" ht="14.25"/>
    <row r="9178" ht="14.25"/>
    <row r="9179" ht="14.25"/>
    <row r="9180" ht="14.25"/>
    <row r="9181" ht="14.25"/>
    <row r="9182" ht="14.25"/>
    <row r="9183" ht="14.25"/>
    <row r="9184" ht="14.25"/>
    <row r="9185" ht="14.25"/>
    <row r="9186" ht="14.25"/>
    <row r="9187" ht="14.25"/>
    <row r="9188" ht="14.25"/>
    <row r="9189" ht="14.25"/>
    <row r="9190" ht="14.25"/>
    <row r="9191" ht="14.25"/>
    <row r="9192" ht="14.25"/>
    <row r="9193" ht="14.25"/>
    <row r="9194" ht="14.25"/>
    <row r="9195" ht="14.25"/>
    <row r="9196" ht="14.25"/>
    <row r="9197" ht="14.25"/>
    <row r="9198" ht="14.25"/>
    <row r="9199" ht="14.25"/>
    <row r="9200" ht="14.25"/>
    <row r="9201" ht="14.25"/>
    <row r="9202" ht="14.25"/>
    <row r="9203" ht="14.25"/>
    <row r="9204" ht="14.25"/>
    <row r="9205" ht="14.25"/>
    <row r="9206" ht="14.25"/>
    <row r="9207" ht="14.25"/>
    <row r="9208" ht="14.25"/>
    <row r="9209" ht="14.25"/>
    <row r="9210" ht="14.25"/>
    <row r="9211" ht="14.25"/>
    <row r="9212" ht="14.25"/>
    <row r="9213" ht="14.25"/>
    <row r="9214" ht="14.25"/>
    <row r="9215" ht="14.25"/>
    <row r="9216" ht="14.25"/>
    <row r="9217" ht="14.25"/>
    <row r="9218" ht="14.25"/>
    <row r="9219" ht="14.25"/>
    <row r="9220" ht="14.25"/>
    <row r="9221" ht="14.25"/>
    <row r="9222" ht="14.25"/>
    <row r="9223" ht="14.25"/>
    <row r="9224" ht="14.25"/>
    <row r="9225" ht="14.25"/>
    <row r="9226" ht="14.25"/>
    <row r="9227" ht="14.25"/>
    <row r="9228" ht="14.25"/>
    <row r="9229" ht="14.25"/>
    <row r="9230" ht="14.25"/>
    <row r="9231" ht="14.25"/>
    <row r="9232" ht="14.25"/>
    <row r="9233" ht="14.25"/>
    <row r="9234" ht="14.25"/>
    <row r="9235" ht="14.25"/>
    <row r="9236" ht="14.25"/>
    <row r="9237" ht="14.25"/>
    <row r="9238" ht="14.25"/>
    <row r="9239" ht="14.25"/>
    <row r="9240" ht="14.25"/>
    <row r="9241" ht="14.25"/>
    <row r="9242" ht="14.25"/>
    <row r="9243" ht="14.25"/>
    <row r="9244" ht="14.25"/>
    <row r="9245" ht="14.25"/>
    <row r="9246" ht="14.25"/>
    <row r="9247" ht="14.25"/>
    <row r="9248" ht="14.25"/>
    <row r="9249" ht="14.25"/>
    <row r="9250" ht="14.25"/>
    <row r="9251" ht="14.25"/>
    <row r="9252" ht="14.25"/>
    <row r="9253" ht="14.25"/>
    <row r="9254" ht="14.25"/>
    <row r="9255" ht="14.25"/>
    <row r="9256" ht="14.25"/>
    <row r="9257" ht="14.25"/>
    <row r="9258" ht="14.25"/>
    <row r="9259" ht="14.25"/>
    <row r="9260" ht="14.25"/>
    <row r="9261" ht="14.25"/>
    <row r="9262" ht="14.25"/>
    <row r="9263" ht="14.25"/>
    <row r="9264" ht="14.25"/>
    <row r="9265" ht="14.25"/>
    <row r="9266" ht="14.25"/>
    <row r="9267" ht="14.25"/>
    <row r="9268" ht="14.25"/>
    <row r="9269" ht="14.25"/>
    <row r="9270" ht="14.25"/>
    <row r="9271" ht="14.25"/>
    <row r="9272" ht="14.25"/>
    <row r="9273" ht="14.25"/>
    <row r="9274" ht="14.25"/>
    <row r="9275" ht="14.25"/>
    <row r="9276" ht="14.25"/>
    <row r="9277" ht="14.25"/>
    <row r="9278" ht="14.25"/>
    <row r="9279" ht="14.25"/>
    <row r="9280" ht="14.25"/>
    <row r="9281" ht="14.25"/>
    <row r="9282" ht="14.25"/>
    <row r="9283" ht="14.25"/>
    <row r="9284" ht="14.25"/>
    <row r="9285" ht="14.25"/>
    <row r="9286" ht="14.25"/>
    <row r="9287" ht="14.25"/>
    <row r="9288" ht="14.25"/>
    <row r="9289" ht="14.25"/>
    <row r="9290" ht="14.25"/>
    <row r="9291" ht="14.25"/>
    <row r="9292" ht="14.25"/>
    <row r="9293" ht="14.25"/>
    <row r="9294" ht="14.25"/>
    <row r="9295" ht="14.25"/>
    <row r="9296" ht="14.25"/>
    <row r="9297" ht="14.25"/>
    <row r="9298" ht="14.25"/>
    <row r="9299" ht="14.25"/>
    <row r="9300" ht="14.25"/>
    <row r="9301" ht="14.25"/>
    <row r="9302" ht="14.25"/>
    <row r="9303" ht="14.25"/>
    <row r="9304" ht="14.25"/>
    <row r="9305" ht="14.25"/>
    <row r="9306" ht="14.25"/>
    <row r="9307" ht="14.25"/>
    <row r="9308" ht="14.25"/>
    <row r="9309" ht="14.25"/>
    <row r="9310" ht="14.25"/>
    <row r="9311" ht="14.25"/>
    <row r="9312" ht="14.25"/>
    <row r="9313" ht="14.25"/>
    <row r="9314" ht="14.25"/>
    <row r="9315" ht="14.25"/>
    <row r="9316" ht="14.25"/>
    <row r="9317" ht="14.25"/>
    <row r="9318" ht="14.25"/>
    <row r="9319" ht="14.25"/>
    <row r="9320" ht="14.25"/>
    <row r="9321" ht="14.25"/>
    <row r="9322" ht="14.25"/>
    <row r="9323" ht="14.25"/>
    <row r="9324" ht="14.25"/>
    <row r="9325" ht="14.25"/>
    <row r="9326" ht="14.25"/>
    <row r="9327" ht="14.25"/>
    <row r="9328" ht="14.25"/>
    <row r="9329" ht="14.25"/>
    <row r="9330" ht="14.25"/>
    <row r="9331" ht="14.25"/>
    <row r="9332" ht="14.25"/>
    <row r="9333" ht="14.25"/>
    <row r="9334" ht="14.25"/>
    <row r="9335" ht="14.25"/>
    <row r="9336" ht="14.25"/>
    <row r="9337" ht="14.25"/>
    <row r="9338" ht="14.25"/>
    <row r="9339" ht="14.25"/>
    <row r="9340" ht="14.25"/>
    <row r="9341" ht="14.25"/>
    <row r="9342" ht="14.25"/>
    <row r="9343" ht="14.25"/>
    <row r="9344" ht="14.25"/>
    <row r="9345" ht="14.25"/>
    <row r="9346" ht="14.25"/>
    <row r="9347" ht="14.25"/>
    <row r="9348" ht="14.25"/>
    <row r="9349" ht="14.25"/>
    <row r="9350" ht="14.25"/>
    <row r="9351" ht="14.25"/>
    <row r="9352" ht="14.25"/>
    <row r="9353" ht="14.25"/>
    <row r="9354" ht="14.25"/>
    <row r="9355" ht="14.25"/>
    <row r="9356" ht="14.25"/>
    <row r="9357" ht="14.25"/>
    <row r="9358" ht="14.25"/>
    <row r="9359" ht="14.25"/>
    <row r="9360" ht="14.25"/>
    <row r="9361" ht="14.25"/>
    <row r="9362" ht="14.25"/>
    <row r="9363" ht="14.25"/>
    <row r="9364" ht="14.25"/>
    <row r="9365" ht="14.25"/>
    <row r="9366" ht="14.25"/>
    <row r="9367" ht="14.25"/>
    <row r="9368" ht="14.25"/>
    <row r="9369" ht="14.25"/>
    <row r="9370" ht="14.25"/>
    <row r="9371" ht="14.25"/>
    <row r="9372" ht="14.25"/>
    <row r="9373" ht="14.25"/>
    <row r="9374" ht="14.25"/>
    <row r="9375" ht="14.25"/>
    <row r="9376" ht="14.25"/>
    <row r="9377" ht="14.25"/>
    <row r="9378" ht="14.25"/>
    <row r="9379" ht="14.25"/>
    <row r="9380" ht="14.25"/>
    <row r="9381" ht="14.25"/>
    <row r="9382" ht="14.25"/>
    <row r="9383" ht="14.25"/>
    <row r="9384" ht="14.25"/>
    <row r="9385" ht="14.25"/>
    <row r="9386" ht="14.25"/>
    <row r="9387" ht="14.25"/>
    <row r="9388" ht="14.25"/>
    <row r="9389" ht="14.25"/>
    <row r="9390" ht="14.25"/>
    <row r="9391" ht="14.25"/>
    <row r="9392" ht="14.25"/>
    <row r="9393" ht="14.25"/>
    <row r="9394" ht="14.25"/>
    <row r="9395" ht="14.25"/>
    <row r="9396" ht="14.25"/>
    <row r="9397" ht="14.25"/>
    <row r="9398" ht="14.25"/>
    <row r="9399" ht="14.25"/>
    <row r="9400" ht="14.25"/>
    <row r="9401" ht="14.25"/>
    <row r="9402" ht="14.25"/>
    <row r="9403" ht="14.25"/>
    <row r="9404" ht="14.25"/>
    <row r="9405" ht="14.25"/>
    <row r="9406" ht="14.25"/>
    <row r="9407" ht="14.25"/>
    <row r="9408" ht="14.25"/>
    <row r="9409" ht="14.25"/>
    <row r="9410" ht="14.25"/>
    <row r="9411" ht="14.25"/>
    <row r="9412" ht="14.25"/>
    <row r="9413" ht="14.25"/>
    <row r="9414" ht="14.25"/>
    <row r="9415" ht="14.25"/>
    <row r="9416" ht="14.25"/>
    <row r="9417" ht="14.25"/>
    <row r="9418" ht="14.25"/>
    <row r="9419" ht="14.25"/>
    <row r="9420" ht="14.25"/>
    <row r="9421" ht="14.25"/>
    <row r="9422" ht="14.25"/>
    <row r="9423" ht="14.25"/>
    <row r="9424" ht="14.25"/>
    <row r="9425" ht="14.25"/>
    <row r="9426" ht="14.25"/>
    <row r="9427" ht="14.25"/>
    <row r="9428" ht="14.25"/>
    <row r="9429" ht="14.25"/>
    <row r="9430" ht="14.25"/>
    <row r="9431" ht="14.25"/>
    <row r="9432" ht="14.25"/>
    <row r="9433" ht="14.25"/>
    <row r="9434" ht="14.25"/>
    <row r="9435" ht="14.25"/>
    <row r="9436" ht="14.25"/>
    <row r="9437" ht="14.25"/>
    <row r="9438" ht="14.25"/>
    <row r="9439" ht="14.25"/>
    <row r="9440" ht="14.25"/>
    <row r="9441" ht="14.25"/>
    <row r="9442" ht="14.25"/>
    <row r="9443" ht="14.25"/>
    <row r="9444" ht="14.25"/>
    <row r="9445" ht="14.25"/>
    <row r="9446" ht="14.25"/>
    <row r="9447" ht="14.25"/>
    <row r="9448" ht="14.25"/>
    <row r="9449" ht="14.25"/>
    <row r="9450" ht="14.25"/>
    <row r="9451" ht="14.25"/>
    <row r="9452" ht="14.25"/>
    <row r="9453" ht="14.25"/>
    <row r="9454" ht="14.25"/>
    <row r="9455" ht="14.25"/>
    <row r="9456" ht="14.25"/>
    <row r="9457" ht="14.25"/>
    <row r="9458" ht="14.25"/>
    <row r="9459" ht="14.25"/>
    <row r="9460" ht="14.25"/>
    <row r="9461" ht="14.25"/>
    <row r="9462" ht="14.25"/>
    <row r="9463" ht="14.25"/>
    <row r="9464" ht="14.25"/>
    <row r="9465" ht="14.25"/>
    <row r="9466" ht="14.25"/>
    <row r="9467" ht="14.25"/>
    <row r="9468" ht="14.25"/>
    <row r="9469" ht="14.25"/>
    <row r="9470" ht="14.25"/>
    <row r="9471" ht="14.25"/>
    <row r="9472" ht="14.25"/>
    <row r="9473" ht="14.25"/>
    <row r="9474" ht="14.25"/>
    <row r="9475" ht="14.25"/>
    <row r="9476" ht="14.25"/>
    <row r="9477" ht="14.25"/>
    <row r="9478" ht="14.25"/>
    <row r="9479" ht="14.25"/>
    <row r="9480" ht="14.25"/>
    <row r="9481" ht="14.25"/>
    <row r="9482" ht="14.25"/>
    <row r="9483" ht="14.25"/>
    <row r="9484" ht="14.25"/>
    <row r="9485" ht="14.25"/>
    <row r="9486" ht="14.25"/>
    <row r="9487" ht="14.25"/>
    <row r="9488" ht="14.25"/>
    <row r="9489" ht="14.25"/>
    <row r="9490" ht="14.25"/>
    <row r="9491" ht="14.25"/>
    <row r="9492" ht="14.25"/>
    <row r="9493" ht="14.25"/>
    <row r="9494" ht="14.25"/>
    <row r="9495" ht="14.25"/>
    <row r="9496" ht="14.25"/>
    <row r="9497" ht="14.25"/>
    <row r="9498" ht="14.25"/>
    <row r="9499" ht="14.25"/>
    <row r="9500" ht="14.25"/>
    <row r="9501" ht="14.25"/>
    <row r="9502" ht="14.25"/>
    <row r="9503" ht="14.25"/>
    <row r="9504" ht="14.25"/>
    <row r="9505" ht="14.25"/>
    <row r="9506" ht="14.25"/>
    <row r="9507" ht="14.25"/>
    <row r="9508" ht="14.25"/>
    <row r="9509" ht="14.25"/>
    <row r="9510" ht="14.25"/>
    <row r="9511" ht="14.25"/>
    <row r="9512" ht="14.25"/>
    <row r="9513" ht="14.25"/>
    <row r="9514" ht="14.25"/>
    <row r="9515" ht="14.25"/>
    <row r="9516" ht="14.25"/>
    <row r="9517" ht="14.25"/>
    <row r="9518" ht="14.25"/>
    <row r="9519" ht="14.25"/>
    <row r="9520" ht="14.25"/>
    <row r="9521" ht="14.25"/>
    <row r="9522" ht="14.25"/>
    <row r="9523" ht="14.25"/>
    <row r="9524" ht="14.25"/>
    <row r="9525" ht="14.25"/>
    <row r="9526" ht="14.25"/>
    <row r="9527" ht="14.25"/>
    <row r="9528" ht="14.25"/>
    <row r="9529" ht="14.25"/>
    <row r="9530" ht="14.25"/>
    <row r="9531" ht="14.25"/>
    <row r="9532" ht="14.25"/>
    <row r="9533" ht="14.25"/>
    <row r="9534" ht="14.25"/>
    <row r="9535" ht="14.25"/>
    <row r="9536" ht="14.25"/>
    <row r="9537" ht="14.25"/>
    <row r="9538" ht="14.25"/>
    <row r="9539" ht="14.25"/>
    <row r="9540" ht="14.25"/>
    <row r="9541" ht="14.25"/>
    <row r="9542" ht="14.25"/>
    <row r="9543" ht="14.25"/>
    <row r="9544" ht="14.25"/>
    <row r="9545" ht="14.25"/>
    <row r="9546" ht="14.25"/>
    <row r="9547" ht="14.25"/>
    <row r="9548" ht="14.25"/>
    <row r="9549" ht="14.25"/>
    <row r="9550" ht="14.25"/>
    <row r="9551" ht="14.25"/>
    <row r="9552" ht="14.25"/>
    <row r="9553" ht="14.25"/>
    <row r="9554" ht="14.25"/>
    <row r="9555" ht="14.25"/>
    <row r="9556" ht="14.25"/>
    <row r="9557" ht="14.25"/>
    <row r="9558" ht="14.25"/>
    <row r="9559" ht="14.25"/>
    <row r="9560" ht="14.25"/>
    <row r="9561" ht="14.25"/>
    <row r="9562" ht="14.25"/>
    <row r="9563" ht="14.25"/>
    <row r="9564" ht="14.25"/>
    <row r="9565" ht="14.25"/>
    <row r="9566" ht="14.25"/>
    <row r="9567" ht="14.25"/>
    <row r="9568" ht="14.25"/>
    <row r="9569" ht="14.25"/>
    <row r="9570" ht="14.25"/>
    <row r="9571" ht="14.25"/>
    <row r="9572" ht="14.25"/>
    <row r="9573" ht="14.25"/>
    <row r="9574" ht="14.25"/>
    <row r="9575" ht="14.25"/>
    <row r="9576" ht="14.25"/>
    <row r="9577" ht="14.25"/>
    <row r="9578" ht="14.25"/>
    <row r="9579" ht="14.25"/>
    <row r="9580" ht="14.25"/>
    <row r="9581" ht="14.25"/>
    <row r="9582" ht="14.25"/>
    <row r="9583" ht="14.25"/>
    <row r="9584" ht="14.25"/>
    <row r="9585" ht="14.25"/>
    <row r="9586" ht="14.25"/>
    <row r="9587" ht="14.25"/>
    <row r="9588" ht="14.25"/>
    <row r="9589" ht="14.25"/>
    <row r="9590" ht="14.25"/>
    <row r="9591" ht="14.25"/>
    <row r="9592" ht="14.25"/>
    <row r="9593" ht="14.25"/>
    <row r="9594" ht="14.25"/>
    <row r="9595" ht="14.25"/>
    <row r="9596" ht="14.25"/>
    <row r="9597" ht="14.25"/>
    <row r="9598" ht="14.25"/>
    <row r="9599" ht="14.25"/>
    <row r="9600" ht="14.25"/>
    <row r="9601" ht="14.25"/>
    <row r="9602" ht="14.25"/>
    <row r="9603" ht="14.25"/>
    <row r="9604" ht="14.25"/>
    <row r="9605" ht="14.25"/>
    <row r="9606" ht="14.25"/>
    <row r="9607" ht="14.25"/>
    <row r="9608" ht="14.25"/>
    <row r="9609" ht="14.25"/>
    <row r="9610" ht="14.25"/>
    <row r="9611" ht="14.25"/>
    <row r="9612" ht="14.25"/>
    <row r="9613" ht="14.25"/>
    <row r="9614" ht="14.25"/>
    <row r="9615" ht="14.25"/>
    <row r="9616" ht="14.25"/>
    <row r="9617" ht="14.25"/>
    <row r="9618" ht="14.25"/>
    <row r="9619" ht="14.25"/>
    <row r="9620" ht="14.25"/>
    <row r="9621" ht="14.25"/>
    <row r="9622" ht="14.25"/>
    <row r="9623" ht="14.25"/>
    <row r="9624" ht="14.25"/>
    <row r="9625" ht="14.25"/>
    <row r="9626" ht="14.25"/>
    <row r="9627" ht="14.25"/>
    <row r="9628" ht="14.25"/>
    <row r="9629" ht="14.25"/>
    <row r="9630" ht="14.25"/>
    <row r="9631" ht="14.25"/>
    <row r="9632" ht="14.25"/>
    <row r="9633" ht="14.25"/>
    <row r="9634" ht="14.25"/>
    <row r="9635" ht="14.25"/>
    <row r="9636" ht="14.25"/>
    <row r="9637" ht="14.25"/>
    <row r="9638" ht="14.25"/>
    <row r="9639" ht="14.25"/>
    <row r="9640" ht="14.25"/>
    <row r="9641" ht="14.25"/>
    <row r="9642" ht="14.25"/>
    <row r="9643" ht="14.25"/>
    <row r="9644" ht="14.25"/>
    <row r="9645" ht="14.25"/>
    <row r="9646" ht="14.25"/>
    <row r="9647" ht="14.25"/>
    <row r="9648" ht="14.25"/>
    <row r="9649" ht="14.25"/>
    <row r="9650" ht="14.25"/>
    <row r="9651" ht="14.25"/>
    <row r="9652" ht="14.25"/>
    <row r="9653" ht="14.25"/>
    <row r="9654" ht="14.25"/>
    <row r="9655" ht="14.25"/>
    <row r="9656" ht="14.25"/>
    <row r="9657" ht="14.25"/>
    <row r="9658" ht="14.25"/>
    <row r="9659" ht="14.25"/>
    <row r="9660" ht="14.25"/>
    <row r="9661" ht="14.25"/>
    <row r="9662" ht="14.25"/>
    <row r="9663" ht="14.25"/>
    <row r="9664" ht="14.25"/>
    <row r="9665" ht="14.25"/>
    <row r="9666" ht="14.25"/>
    <row r="9667" ht="14.25"/>
    <row r="9668" ht="14.25"/>
    <row r="9669" ht="14.25"/>
    <row r="9670" ht="14.25"/>
    <row r="9671" ht="14.25"/>
    <row r="9672" ht="14.25"/>
    <row r="9673" ht="14.25"/>
    <row r="9674" ht="14.25"/>
    <row r="9675" ht="14.25"/>
    <row r="9676" ht="14.25"/>
    <row r="9677" ht="14.25"/>
    <row r="9678" ht="14.25"/>
    <row r="9679" ht="14.25"/>
    <row r="9680" ht="14.25"/>
    <row r="9681" ht="14.25"/>
    <row r="9682" ht="14.25"/>
    <row r="9683" ht="14.25"/>
    <row r="9684" ht="14.25"/>
    <row r="9685" ht="14.25"/>
    <row r="9686" ht="14.25"/>
    <row r="9687" ht="14.25"/>
    <row r="9688" ht="14.25"/>
    <row r="9689" ht="14.25"/>
    <row r="9690" ht="14.25"/>
    <row r="9691" ht="14.25"/>
    <row r="9692" ht="14.25"/>
    <row r="9693" ht="14.25"/>
    <row r="9694" ht="14.25"/>
    <row r="9695" ht="14.25"/>
    <row r="9696" ht="14.25"/>
    <row r="9697" ht="14.25"/>
    <row r="9698" ht="14.25"/>
    <row r="9699" ht="14.25"/>
    <row r="9700" ht="14.25"/>
    <row r="9701" ht="14.25"/>
    <row r="9702" ht="14.25"/>
    <row r="9703" ht="14.25"/>
    <row r="9704" ht="14.25"/>
    <row r="9705" ht="14.25"/>
    <row r="9706" ht="14.25"/>
    <row r="9707" ht="14.25"/>
    <row r="9708" ht="14.25"/>
    <row r="9709" ht="14.25"/>
    <row r="9710" ht="14.25"/>
    <row r="9711" ht="14.25"/>
    <row r="9712" ht="14.25"/>
    <row r="9713" ht="14.25"/>
    <row r="9714" ht="14.25"/>
    <row r="9715" ht="14.25"/>
    <row r="9716" ht="14.25"/>
    <row r="9717" ht="14.25"/>
    <row r="9718" ht="14.25"/>
    <row r="9719" ht="14.25"/>
    <row r="9720" ht="14.25"/>
    <row r="9721" ht="14.25"/>
    <row r="9722" ht="14.25"/>
    <row r="9723" ht="14.25"/>
    <row r="9724" ht="14.25"/>
    <row r="9725" ht="14.25"/>
    <row r="9726" ht="14.25"/>
    <row r="9727" ht="14.25"/>
    <row r="9728" ht="14.25"/>
    <row r="9729" ht="14.25"/>
    <row r="9730" ht="14.25"/>
    <row r="9731" ht="14.25"/>
    <row r="9732" ht="14.25"/>
    <row r="9733" ht="14.25"/>
    <row r="9734" ht="14.25"/>
    <row r="9735" ht="14.25"/>
    <row r="9736" ht="14.25"/>
    <row r="9737" ht="14.25"/>
    <row r="9738" ht="14.25"/>
    <row r="9739" ht="14.25"/>
    <row r="9740" ht="14.25"/>
    <row r="9741" ht="14.25"/>
    <row r="9742" ht="14.25"/>
    <row r="9743" ht="14.25"/>
    <row r="9744" ht="14.25"/>
    <row r="9745" ht="14.25"/>
    <row r="9746" ht="14.25"/>
    <row r="9747" ht="14.25"/>
    <row r="9748" ht="14.25"/>
    <row r="9749" ht="14.25"/>
    <row r="9750" ht="14.25"/>
    <row r="9751" ht="14.25"/>
    <row r="9752" ht="14.25"/>
    <row r="9753" ht="14.25"/>
    <row r="9754" ht="14.25"/>
    <row r="9755" ht="14.25"/>
    <row r="9756" ht="14.25"/>
    <row r="9757" ht="14.25"/>
    <row r="9758" ht="14.25"/>
    <row r="9759" ht="14.25"/>
    <row r="9760" ht="14.25"/>
    <row r="9761" ht="14.25"/>
    <row r="9762" ht="14.25"/>
    <row r="9763" ht="14.25"/>
    <row r="9764" ht="14.25"/>
    <row r="9765" ht="14.25"/>
    <row r="9766" ht="14.25"/>
    <row r="9767" ht="14.25"/>
    <row r="9768" ht="14.25"/>
    <row r="9769" ht="14.25"/>
    <row r="9770" ht="14.25"/>
    <row r="9771" ht="14.25"/>
    <row r="9772" ht="14.25"/>
    <row r="9773" ht="14.25"/>
    <row r="9774" ht="14.25"/>
    <row r="9775" ht="14.25"/>
    <row r="9776" ht="14.25"/>
    <row r="9777" ht="14.25"/>
    <row r="9778" ht="14.25"/>
    <row r="9779" ht="14.25"/>
    <row r="9780" ht="14.25"/>
    <row r="9781" ht="14.25"/>
    <row r="9782" ht="14.25"/>
    <row r="9783" ht="14.25"/>
    <row r="9784" ht="14.25"/>
    <row r="9785" ht="14.25"/>
    <row r="9786" ht="14.25"/>
    <row r="9787" ht="14.25"/>
    <row r="9788" ht="14.25"/>
    <row r="9789" ht="14.25"/>
    <row r="9790" ht="14.25"/>
    <row r="9791" ht="14.25"/>
    <row r="9792" ht="14.25"/>
    <row r="9793" ht="14.25"/>
    <row r="9794" ht="14.25"/>
    <row r="9795" ht="14.25"/>
    <row r="9796" ht="14.25"/>
    <row r="9797" ht="14.25"/>
    <row r="9798" ht="14.25"/>
    <row r="9799" ht="14.25"/>
    <row r="9800" ht="14.25"/>
    <row r="9801" ht="14.25"/>
    <row r="9802" ht="14.25"/>
    <row r="9803" ht="14.25"/>
    <row r="9804" ht="14.25"/>
    <row r="9805" ht="14.25"/>
    <row r="9806" ht="14.25"/>
    <row r="9807" ht="14.25"/>
    <row r="9808" ht="14.25"/>
    <row r="9809" ht="14.25"/>
    <row r="9810" ht="14.25"/>
    <row r="9811" ht="14.25"/>
    <row r="9812" ht="14.25"/>
    <row r="9813" ht="14.25"/>
    <row r="9814" ht="14.25"/>
    <row r="9815" ht="14.25"/>
    <row r="9816" ht="14.25"/>
    <row r="9817" ht="14.25"/>
    <row r="9818" ht="14.25"/>
    <row r="9819" ht="14.25"/>
    <row r="9820" ht="14.25"/>
    <row r="9821" ht="14.25"/>
    <row r="9822" ht="14.25"/>
    <row r="9823" ht="14.25"/>
    <row r="9824" ht="14.25"/>
    <row r="9825" ht="14.25"/>
    <row r="9826" ht="14.25"/>
    <row r="9827" ht="14.25"/>
    <row r="9828" ht="14.25"/>
    <row r="9829" ht="14.25"/>
    <row r="9830" ht="14.25"/>
    <row r="9831" ht="14.25"/>
    <row r="9832" ht="14.25"/>
    <row r="9833" ht="14.25"/>
    <row r="9834" ht="14.25"/>
    <row r="9835" ht="14.25"/>
    <row r="9836" ht="14.25"/>
    <row r="9837" ht="14.25"/>
    <row r="9838" ht="14.25"/>
    <row r="9839" ht="14.25"/>
    <row r="9840" ht="14.25"/>
    <row r="9841" ht="14.25"/>
    <row r="9842" ht="14.25"/>
    <row r="9843" ht="14.25"/>
    <row r="9844" ht="14.25"/>
    <row r="9845" ht="14.25"/>
    <row r="9846" ht="14.25"/>
    <row r="9847" ht="14.25"/>
    <row r="9848" ht="14.25"/>
    <row r="9849" ht="14.25"/>
    <row r="9850" ht="14.25"/>
    <row r="9851" ht="14.25"/>
    <row r="9852" ht="14.25"/>
    <row r="9853" ht="14.25"/>
    <row r="9854" ht="14.25"/>
    <row r="9855" ht="14.25"/>
    <row r="9856" ht="14.25"/>
    <row r="9857" ht="14.25"/>
    <row r="9858" ht="14.25"/>
    <row r="9859" ht="14.25"/>
    <row r="9860" ht="14.25"/>
    <row r="9861" ht="14.25"/>
    <row r="9862" ht="14.25"/>
    <row r="9863" ht="14.25"/>
    <row r="9864" ht="14.25"/>
    <row r="9865" ht="14.25"/>
    <row r="9866" ht="14.25"/>
    <row r="9867" ht="14.25"/>
    <row r="9868" ht="14.25"/>
    <row r="9869" ht="14.25"/>
    <row r="9870" ht="14.25"/>
    <row r="9871" ht="14.25"/>
    <row r="9872" ht="14.25"/>
    <row r="9873" ht="14.25"/>
    <row r="9874" ht="14.25"/>
    <row r="9875" ht="14.25"/>
    <row r="9876" ht="14.25"/>
    <row r="9877" ht="14.25"/>
    <row r="9878" ht="14.25"/>
    <row r="9879" ht="14.25"/>
    <row r="9880" ht="14.25"/>
    <row r="9881" ht="14.25"/>
    <row r="9882" ht="14.25"/>
    <row r="9883" ht="14.25"/>
    <row r="9884" ht="14.25"/>
    <row r="9885" ht="14.25"/>
    <row r="9886" ht="14.25"/>
    <row r="9887" ht="14.25"/>
    <row r="9888" ht="14.25"/>
    <row r="9889" ht="14.25"/>
    <row r="9890" ht="14.25"/>
    <row r="9891" ht="14.25"/>
    <row r="9892" ht="14.25"/>
    <row r="9893" ht="14.25"/>
    <row r="9894" ht="14.25"/>
    <row r="9895" ht="14.25"/>
    <row r="9896" ht="14.25"/>
    <row r="9897" ht="14.25"/>
    <row r="9898" ht="14.25"/>
    <row r="9899" ht="14.25"/>
    <row r="9900" ht="14.25"/>
    <row r="9901" ht="14.25"/>
    <row r="9902" ht="14.25"/>
    <row r="9903" ht="14.25"/>
    <row r="9904" ht="14.25"/>
    <row r="9905" ht="14.25"/>
    <row r="9906" ht="14.25"/>
    <row r="9907" ht="14.25"/>
    <row r="9908" ht="14.25"/>
    <row r="9909" ht="14.25"/>
    <row r="9910" ht="14.25"/>
    <row r="9911" ht="14.25"/>
    <row r="9912" ht="14.25"/>
    <row r="9913" ht="14.25"/>
    <row r="9914" ht="14.25"/>
    <row r="9915" ht="14.25"/>
    <row r="9916" ht="14.25"/>
    <row r="9917" ht="14.25"/>
    <row r="9918" ht="14.25"/>
    <row r="9919" ht="14.25"/>
    <row r="9920" ht="14.25"/>
    <row r="9921" ht="14.25"/>
    <row r="9922" ht="14.25"/>
    <row r="9923" ht="14.25"/>
    <row r="9924" ht="14.25"/>
    <row r="9925" ht="14.25"/>
    <row r="9926" ht="14.25"/>
    <row r="9927" ht="14.25"/>
    <row r="9928" ht="14.25"/>
    <row r="9929" ht="14.25"/>
    <row r="9930" ht="14.25"/>
    <row r="9931" ht="14.25"/>
    <row r="9932" ht="14.25"/>
    <row r="9933" ht="14.25"/>
    <row r="9934" ht="14.25"/>
    <row r="9935" ht="14.25"/>
    <row r="9936" ht="14.25"/>
    <row r="9937" ht="14.25"/>
    <row r="9938" ht="14.25"/>
    <row r="9939" ht="14.25"/>
    <row r="9940" ht="14.25"/>
    <row r="9941" ht="14.25"/>
    <row r="9942" ht="14.25"/>
    <row r="9943" ht="14.25"/>
    <row r="9944" ht="14.25"/>
    <row r="9945" ht="14.25"/>
    <row r="9946" ht="14.25"/>
    <row r="9947" ht="14.25"/>
    <row r="9948" ht="14.25"/>
    <row r="9949" ht="14.25"/>
    <row r="9950" ht="14.25"/>
    <row r="9951" ht="14.25"/>
    <row r="9952" ht="14.25"/>
    <row r="9953" ht="14.25"/>
    <row r="9954" ht="14.25"/>
    <row r="9955" ht="14.25"/>
    <row r="9956" ht="14.25"/>
    <row r="9957" ht="14.25"/>
    <row r="9958" ht="14.25"/>
    <row r="9959" ht="14.25"/>
    <row r="9960" ht="14.25"/>
    <row r="9961" ht="14.25"/>
    <row r="9962" ht="14.25"/>
    <row r="9963" ht="14.25"/>
    <row r="9964" ht="14.25"/>
    <row r="9965" ht="14.25"/>
    <row r="9966" ht="14.25"/>
    <row r="9967" ht="14.25"/>
    <row r="9968" ht="14.25"/>
    <row r="9969" ht="14.25"/>
    <row r="9970" ht="14.25"/>
    <row r="9971" ht="14.25"/>
    <row r="9972" ht="14.25"/>
    <row r="9973" ht="14.25"/>
    <row r="9974" ht="14.25"/>
    <row r="9975" ht="14.25"/>
    <row r="9976" ht="14.25"/>
    <row r="9977" ht="14.25"/>
    <row r="9978" ht="14.25"/>
    <row r="9979" ht="14.25"/>
    <row r="9980" ht="14.25"/>
    <row r="9981" ht="14.25"/>
    <row r="9982" ht="14.25"/>
    <row r="9983" ht="14.25"/>
    <row r="9984" ht="14.25"/>
    <row r="9985" ht="14.25"/>
    <row r="9986" ht="14.25"/>
    <row r="9987" ht="14.25"/>
    <row r="9988" ht="14.25"/>
    <row r="9989" ht="14.25"/>
    <row r="9990" ht="14.25"/>
    <row r="9991" ht="14.25"/>
    <row r="9992" ht="14.25"/>
    <row r="9993" ht="14.25"/>
    <row r="9994" ht="14.25"/>
    <row r="9995" ht="14.25"/>
    <row r="9996" ht="14.25"/>
    <row r="9997" ht="14.25"/>
    <row r="9998" ht="14.25"/>
    <row r="9999" ht="14.25"/>
    <row r="10000" ht="14.25"/>
    <row r="10001" ht="14.25"/>
    <row r="10002" ht="14.25"/>
    <row r="10003" ht="14.25"/>
    <row r="10004" ht="14.25"/>
  </sheetData>
  <pageMargins left="0.20000004800000001" right="0.20000004800000001" top="0.75" bottom="0.75" header="0.30000001192092901" footer="0.30000001192092901"/>
  <pageSetup scale="80"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dimension ref="A1:IV492"/>
  <sheetViews>
    <sheetView showGridLines="0" topLeftCell="H24" workbookViewId="0">
      <selection activeCell="J262" sqref="J262"/>
    </sheetView>
  </sheetViews>
  <sheetFormatPr defaultColWidth="11" defaultRowHeight="20.100000000000001" customHeight="1"/>
  <cols>
    <col min="1" max="1" width="5.125" style="5" hidden="1" customWidth="1"/>
    <col min="2" max="2" width="7.25" style="5" hidden="1" customWidth="1"/>
    <col min="3" max="3" width="4" style="5" hidden="1" customWidth="1"/>
    <col min="4" max="4" width="7.25" style="5" hidden="1" customWidth="1"/>
    <col min="5" max="5" width="5.25" style="5" hidden="1" customWidth="1"/>
    <col min="6" max="6" width="4.125" style="5" hidden="1" customWidth="1"/>
    <col min="7" max="7" width="4.5" style="5" hidden="1" customWidth="1"/>
    <col min="8" max="8" width="18.75" style="5" customWidth="1"/>
    <col min="9" max="9" width="4.5" style="5" customWidth="1"/>
    <col min="10" max="10" width="51.375" style="5" customWidth="1"/>
    <col min="11" max="11" width="19.375" style="5" customWidth="1"/>
    <col min="12" max="12" width="1.5" style="5" customWidth="1"/>
    <col min="13" max="13" width="6.75" style="5" bestFit="1" customWidth="1"/>
    <col min="14" max="14" width="2.25" style="5" customWidth="1"/>
    <col min="15" max="19" width="7.5" style="5" bestFit="1" customWidth="1"/>
    <col min="20" max="20" width="11.375" style="5" customWidth="1"/>
    <col min="21" max="21" width="11" style="5" customWidth="1"/>
    <col min="22" max="22" width="11.125" style="5" customWidth="1"/>
    <col min="23" max="23" width="15.875" style="5" customWidth="1"/>
    <col min="24" max="24" width="12.125" style="5" customWidth="1"/>
    <col min="25" max="25" width="9.875" style="5" customWidth="1"/>
    <col min="26" max="26" width="11.625" style="5" customWidth="1"/>
    <col min="27" max="28" width="21" style="5" hidden="1" customWidth="1"/>
    <col min="29" max="29" width="22.25" style="5" hidden="1" customWidth="1"/>
    <col min="30" max="32" width="21" style="5" hidden="1" customWidth="1"/>
    <col min="33" max="33" width="24.5" style="5" hidden="1" customWidth="1"/>
    <col min="34" max="34" width="21" style="5" hidden="1" customWidth="1"/>
    <col min="35" max="35" width="28.25" style="5" hidden="1" customWidth="1"/>
    <col min="36" max="37" width="21" style="5" hidden="1" customWidth="1"/>
    <col min="38" max="38" width="18.125" style="5" customWidth="1"/>
    <col min="39" max="39" width="14.5" style="5" customWidth="1"/>
    <col min="40" max="40" width="13.125" style="5" customWidth="1"/>
    <col min="41" max="41" width="9.75" style="5" customWidth="1"/>
    <col min="42" max="42" width="11.875" style="5" customWidth="1"/>
    <col min="43" max="43" width="11.125" style="5" bestFit="1" customWidth="1"/>
    <col min="44" max="44" width="16.125" style="5" bestFit="1" customWidth="1"/>
    <col min="45" max="45" width="13.625" style="5" customWidth="1"/>
    <col min="46" max="46" width="9" style="5" customWidth="1"/>
    <col min="47" max="47" width="2.75" style="5" customWidth="1"/>
    <col min="48" max="48" width="11" style="5" customWidth="1"/>
    <col min="49" max="49" width="10.5" style="5" bestFit="1" customWidth="1"/>
    <col min="50" max="51" width="7.875" style="5" customWidth="1"/>
    <col min="52" max="256" width="10.25" style="5" customWidth="1"/>
  </cols>
  <sheetData>
    <row r="1" spans="1:51" ht="14.25" hidden="1">
      <c r="A1" s="403"/>
      <c r="B1" s="10"/>
      <c r="C1" s="10"/>
      <c r="D1" s="10"/>
      <c r="E1" s="10"/>
      <c r="F1" s="10"/>
      <c r="G1" s="10"/>
      <c r="H1" s="10"/>
      <c r="I1" s="10"/>
      <c r="J1" s="10"/>
      <c r="K1" s="403"/>
      <c r="L1" s="98"/>
      <c r="M1" s="403"/>
      <c r="N1" s="10"/>
      <c r="O1" s="403"/>
      <c r="P1" s="403"/>
      <c r="Q1" s="403"/>
      <c r="R1" s="403"/>
      <c r="S1" s="403"/>
      <c r="T1" s="403"/>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10"/>
      <c r="AY1" s="10"/>
    </row>
    <row r="2" spans="1:51" ht="14.25" hidden="1">
      <c r="A2" s="403"/>
      <c r="B2" s="10"/>
      <c r="C2" s="10"/>
      <c r="D2" s="10"/>
      <c r="E2" s="10"/>
      <c r="F2" s="10"/>
      <c r="G2" s="10"/>
      <c r="H2" s="10"/>
      <c r="I2" s="10"/>
      <c r="J2" s="10"/>
      <c r="K2" s="403"/>
      <c r="L2" s="98"/>
      <c r="M2" s="403"/>
      <c r="N2" s="10"/>
      <c r="O2" s="403"/>
      <c r="P2" s="403"/>
      <c r="Q2" s="403"/>
      <c r="R2" s="403"/>
      <c r="S2" s="403"/>
      <c r="T2" s="403"/>
      <c r="U2" s="98"/>
      <c r="V2" s="98"/>
      <c r="W2" s="98"/>
      <c r="X2" s="98"/>
      <c r="Y2" s="98" t="s">
        <v>1580</v>
      </c>
      <c r="Z2" s="98"/>
      <c r="AA2" s="98"/>
      <c r="AB2" s="98"/>
      <c r="AC2" s="98"/>
      <c r="AD2" s="98"/>
      <c r="AE2" s="98"/>
      <c r="AF2" s="98"/>
      <c r="AG2" s="98"/>
      <c r="AH2" s="98"/>
      <c r="AI2" s="98"/>
      <c r="AJ2" s="98"/>
      <c r="AK2" s="98"/>
      <c r="AL2" s="98"/>
      <c r="AM2" s="98"/>
      <c r="AN2" s="98"/>
      <c r="AO2" s="98"/>
      <c r="AP2" s="98"/>
      <c r="AQ2" s="98"/>
      <c r="AR2" s="98"/>
      <c r="AS2" s="98"/>
      <c r="AT2" s="98"/>
      <c r="AU2" s="98"/>
      <c r="AV2" s="98"/>
      <c r="AW2" s="98"/>
      <c r="AX2" s="10"/>
      <c r="AY2" s="10"/>
    </row>
    <row r="3" spans="1:51" ht="14.25" hidden="1">
      <c r="A3" s="10"/>
      <c r="B3" s="10"/>
      <c r="C3" s="10"/>
      <c r="D3" s="10"/>
      <c r="E3" s="10"/>
      <c r="F3" s="10"/>
      <c r="G3" s="10"/>
      <c r="H3" s="10"/>
      <c r="I3" s="10"/>
      <c r="J3" s="10"/>
      <c r="K3" s="403"/>
      <c r="L3" s="98"/>
      <c r="M3" s="403"/>
      <c r="N3" s="10"/>
      <c r="O3" s="377"/>
      <c r="P3" s="377"/>
      <c r="Q3" s="377"/>
      <c r="R3" s="377"/>
      <c r="S3" s="377"/>
      <c r="T3" s="377"/>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98"/>
      <c r="AV3" s="391"/>
      <c r="AW3" s="391"/>
      <c r="AX3" s="10"/>
      <c r="AY3" s="10"/>
    </row>
    <row r="4" spans="1:51" ht="14.25" hidden="1">
      <c r="A4" s="10"/>
      <c r="B4" s="10"/>
      <c r="C4" s="10"/>
      <c r="D4" s="10"/>
      <c r="E4" s="10"/>
      <c r="F4" s="10"/>
      <c r="G4" s="10"/>
      <c r="H4" s="10"/>
      <c r="I4" s="10"/>
      <c r="J4" s="10"/>
      <c r="K4" s="403"/>
      <c r="L4" s="98"/>
      <c r="M4" s="403" t="s">
        <v>1581</v>
      </c>
      <c r="N4" s="179"/>
      <c r="O4" s="404" t="s">
        <v>1582</v>
      </c>
      <c r="P4" s="404" t="s">
        <v>1582</v>
      </c>
      <c r="Q4" s="404" t="s">
        <v>1582</v>
      </c>
      <c r="R4" s="404" t="s">
        <v>1582</v>
      </c>
      <c r="S4" s="404" t="s">
        <v>1582</v>
      </c>
      <c r="T4" s="404" t="s">
        <v>1582</v>
      </c>
      <c r="U4" s="405" t="s">
        <v>1582</v>
      </c>
      <c r="V4" s="405" t="s">
        <v>1582</v>
      </c>
      <c r="W4" s="405" t="s">
        <v>1582</v>
      </c>
      <c r="X4" s="405"/>
      <c r="Y4" s="405" t="s">
        <v>1582</v>
      </c>
      <c r="Z4" s="405" t="s">
        <v>1582</v>
      </c>
      <c r="AA4" s="405" t="s">
        <v>1583</v>
      </c>
      <c r="AB4" s="405" t="s">
        <v>1583</v>
      </c>
      <c r="AC4" s="405" t="s">
        <v>1584</v>
      </c>
      <c r="AD4" s="405" t="s">
        <v>1585</v>
      </c>
      <c r="AE4" s="405" t="s">
        <v>1586</v>
      </c>
      <c r="AF4" s="405" t="s">
        <v>1584</v>
      </c>
      <c r="AG4" s="405" t="s">
        <v>1584</v>
      </c>
      <c r="AH4" s="405" t="s">
        <v>1582</v>
      </c>
      <c r="AI4" s="405" t="s">
        <v>1584</v>
      </c>
      <c r="AJ4" s="405" t="s">
        <v>1587</v>
      </c>
      <c r="AK4" s="405" t="s">
        <v>1583</v>
      </c>
      <c r="AL4" s="405" t="s">
        <v>1588</v>
      </c>
      <c r="AM4" s="405" t="s">
        <v>1588</v>
      </c>
      <c r="AN4" s="405" t="s">
        <v>1588</v>
      </c>
      <c r="AO4" s="405" t="s">
        <v>1587</v>
      </c>
      <c r="AP4" s="405" t="s">
        <v>1587</v>
      </c>
      <c r="AQ4" s="405" t="s">
        <v>1586</v>
      </c>
      <c r="AR4" s="405" t="s">
        <v>1586</v>
      </c>
      <c r="AS4" s="405" t="s">
        <v>1586</v>
      </c>
      <c r="AT4" s="405" t="s">
        <v>1585</v>
      </c>
      <c r="AU4" s="406"/>
      <c r="AV4" s="405" t="s">
        <v>1582</v>
      </c>
      <c r="AW4" s="407" t="s">
        <v>1587</v>
      </c>
      <c r="AX4" s="22"/>
      <c r="AY4" s="10"/>
    </row>
    <row r="5" spans="1:51" ht="14.25" hidden="1">
      <c r="A5" s="10"/>
      <c r="B5" s="10"/>
      <c r="C5" s="10"/>
      <c r="D5" s="10"/>
      <c r="E5" s="10"/>
      <c r="F5" s="10"/>
      <c r="G5" s="10"/>
      <c r="H5" s="10"/>
      <c r="I5" s="10"/>
      <c r="J5" s="10"/>
      <c r="K5" s="403"/>
      <c r="L5" s="98"/>
      <c r="M5" s="403" t="s">
        <v>1589</v>
      </c>
      <c r="N5" s="1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8"/>
      <c r="AT5" s="398"/>
      <c r="AU5" s="98"/>
      <c r="AV5" s="390"/>
      <c r="AW5" s="390"/>
      <c r="AX5" s="10"/>
      <c r="AY5" s="10"/>
    </row>
    <row r="6" spans="1:51" ht="14.25" hidden="1">
      <c r="A6" s="10"/>
      <c r="B6" s="10"/>
      <c r="C6" s="10"/>
      <c r="D6" s="10"/>
      <c r="E6" s="10"/>
      <c r="F6" s="10"/>
      <c r="G6" s="10"/>
      <c r="H6" s="10"/>
      <c r="I6" s="10"/>
      <c r="J6" s="10"/>
      <c r="K6" s="403"/>
      <c r="L6" s="98"/>
      <c r="M6" s="403" t="s">
        <v>1590</v>
      </c>
      <c r="N6" s="10"/>
      <c r="O6" s="10"/>
      <c r="P6" s="10"/>
      <c r="Q6" s="10"/>
      <c r="R6" s="10"/>
      <c r="S6" s="10"/>
      <c r="T6" s="10"/>
      <c r="U6" s="98"/>
      <c r="V6" s="98"/>
      <c r="W6" s="98" t="s">
        <v>1588</v>
      </c>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10"/>
      <c r="AY6" s="10"/>
    </row>
    <row r="7" spans="1:51" ht="14.25" hidden="1">
      <c r="A7" s="10"/>
      <c r="B7" s="10"/>
      <c r="C7" s="10"/>
      <c r="D7" s="10"/>
      <c r="E7" s="10"/>
      <c r="F7" s="10"/>
      <c r="G7" s="10"/>
      <c r="H7" s="10"/>
      <c r="I7" s="10"/>
      <c r="J7" s="10"/>
      <c r="K7" s="403"/>
      <c r="L7" s="98"/>
      <c r="M7" s="403" t="s">
        <v>1591</v>
      </c>
      <c r="N7" s="10"/>
      <c r="O7" s="10"/>
      <c r="P7" s="10"/>
      <c r="Q7" s="10"/>
      <c r="R7" s="10"/>
      <c r="S7" s="10"/>
      <c r="T7" s="377"/>
      <c r="U7" s="391"/>
      <c r="V7" s="391"/>
      <c r="W7" s="391" t="s">
        <v>1592</v>
      </c>
      <c r="X7" s="391" t="s">
        <v>1593</v>
      </c>
      <c r="Y7" s="391"/>
      <c r="Z7" s="391"/>
      <c r="AA7" s="391" t="s">
        <v>1594</v>
      </c>
      <c r="AB7" s="391" t="s">
        <v>1594</v>
      </c>
      <c r="AC7" s="391" t="s">
        <v>1594</v>
      </c>
      <c r="AD7" s="391" t="s">
        <v>1594</v>
      </c>
      <c r="AE7" s="391" t="s">
        <v>1594</v>
      </c>
      <c r="AF7" s="391"/>
      <c r="AG7" s="391"/>
      <c r="AH7" s="391"/>
      <c r="AI7" s="391"/>
      <c r="AJ7" s="391"/>
      <c r="AK7" s="391"/>
      <c r="AL7" s="391"/>
      <c r="AM7" s="391"/>
      <c r="AN7" s="391"/>
      <c r="AO7" s="391"/>
      <c r="AP7" s="391"/>
      <c r="AQ7" s="391"/>
      <c r="AR7" s="391"/>
      <c r="AS7" s="391"/>
      <c r="AT7" s="391"/>
      <c r="AU7" s="98"/>
      <c r="AV7" s="391"/>
      <c r="AW7" s="391"/>
      <c r="AX7" s="10"/>
      <c r="AY7" s="10"/>
    </row>
    <row r="8" spans="1:51" ht="10.5" hidden="1" customHeight="1">
      <c r="A8" s="10"/>
      <c r="B8" s="10"/>
      <c r="C8" s="10"/>
      <c r="D8" s="10"/>
      <c r="E8" s="10"/>
      <c r="F8" s="10"/>
      <c r="G8" s="10"/>
      <c r="H8" s="10"/>
      <c r="I8" s="10"/>
      <c r="J8" s="10"/>
      <c r="K8" s="403"/>
      <c r="L8" s="98"/>
      <c r="M8" s="403" t="s">
        <v>1595</v>
      </c>
      <c r="N8" s="10"/>
      <c r="O8" s="10" t="s">
        <v>1596</v>
      </c>
      <c r="P8" s="10" t="s">
        <v>1597</v>
      </c>
      <c r="Q8" s="10" t="s">
        <v>1598</v>
      </c>
      <c r="R8" s="10" t="s">
        <v>1599</v>
      </c>
      <c r="S8" s="179" t="s">
        <v>1600</v>
      </c>
      <c r="T8" s="404" t="s">
        <v>1596</v>
      </c>
      <c r="U8" s="405" t="s">
        <v>1601</v>
      </c>
      <c r="V8" s="405" t="s">
        <v>1602</v>
      </c>
      <c r="W8" s="405" t="s">
        <v>1603</v>
      </c>
      <c r="X8" s="405" t="s">
        <v>1604</v>
      </c>
      <c r="Y8" s="407" t="s">
        <v>1605</v>
      </c>
      <c r="Z8" s="405" t="s">
        <v>1606</v>
      </c>
      <c r="AA8" s="405" t="s">
        <v>1607</v>
      </c>
      <c r="AB8" s="405" t="s">
        <v>1607</v>
      </c>
      <c r="AC8" s="405" t="s">
        <v>1608</v>
      </c>
      <c r="AD8" s="405" t="s">
        <v>1609</v>
      </c>
      <c r="AE8" s="405" t="s">
        <v>1610</v>
      </c>
      <c r="AF8" s="405" t="s">
        <v>1611</v>
      </c>
      <c r="AG8" s="405" t="s">
        <v>1611</v>
      </c>
      <c r="AH8" s="405" t="s">
        <v>1611</v>
      </c>
      <c r="AI8" s="405" t="s">
        <v>1612</v>
      </c>
      <c r="AJ8" s="405" t="s">
        <v>1613</v>
      </c>
      <c r="AK8" s="405" t="s">
        <v>1614</v>
      </c>
      <c r="AL8" s="405" t="s">
        <v>1615</v>
      </c>
      <c r="AM8" s="405" t="s">
        <v>1616</v>
      </c>
      <c r="AN8" s="405" t="s">
        <v>1617</v>
      </c>
      <c r="AO8" s="405" t="s">
        <v>1599</v>
      </c>
      <c r="AP8" s="405" t="s">
        <v>1618</v>
      </c>
      <c r="AQ8" s="405" t="s">
        <v>1619</v>
      </c>
      <c r="AR8" s="405" t="s">
        <v>1620</v>
      </c>
      <c r="AS8" s="405"/>
      <c r="AT8" s="405" t="s">
        <v>1621</v>
      </c>
      <c r="AU8" s="406"/>
      <c r="AV8" s="405" t="s">
        <v>1622</v>
      </c>
      <c r="AW8" s="405" t="s">
        <v>1623</v>
      </c>
      <c r="AX8" s="22"/>
      <c r="AY8" s="10"/>
    </row>
    <row r="9" spans="1:51" ht="14.25" hidden="1">
      <c r="A9" s="10"/>
      <c r="B9" s="10"/>
      <c r="C9" s="10"/>
      <c r="D9" s="10"/>
      <c r="E9" s="10"/>
      <c r="F9" s="10"/>
      <c r="G9" s="10"/>
      <c r="H9" s="10"/>
      <c r="I9" s="10"/>
      <c r="J9" s="10"/>
      <c r="K9" s="10"/>
      <c r="L9" s="98"/>
      <c r="M9" s="403" t="s">
        <v>1624</v>
      </c>
      <c r="N9" s="10"/>
      <c r="O9" s="10"/>
      <c r="P9" s="10"/>
      <c r="Q9" s="10"/>
      <c r="R9" s="10"/>
      <c r="S9" s="10"/>
      <c r="T9" s="390"/>
      <c r="U9" s="398"/>
      <c r="V9" s="398"/>
      <c r="W9" s="398"/>
      <c r="X9" s="398"/>
      <c r="Y9" s="389"/>
      <c r="Z9" s="398"/>
      <c r="AA9" s="398"/>
      <c r="AB9" s="398"/>
      <c r="AC9" s="398"/>
      <c r="AD9" s="398"/>
      <c r="AE9" s="398"/>
      <c r="AF9" s="398"/>
      <c r="AG9" s="398"/>
      <c r="AH9" s="398"/>
      <c r="AI9" s="398"/>
      <c r="AJ9" s="398"/>
      <c r="AK9" s="398"/>
      <c r="AL9" s="398"/>
      <c r="AM9" s="398"/>
      <c r="AN9" s="398"/>
      <c r="AO9" s="398"/>
      <c r="AP9" s="398"/>
      <c r="AQ9" s="398"/>
      <c r="AR9" s="398"/>
      <c r="AS9" s="398"/>
      <c r="AT9" s="398"/>
      <c r="AU9" s="98"/>
      <c r="AV9" s="398"/>
      <c r="AW9" s="398"/>
      <c r="AX9" s="10"/>
      <c r="AY9" s="10"/>
    </row>
    <row r="10" spans="1:51" ht="14.25" hidden="1">
      <c r="A10" s="10"/>
      <c r="B10" s="10"/>
      <c r="C10" s="10"/>
      <c r="D10" s="10"/>
      <c r="E10" s="10"/>
      <c r="F10" s="10"/>
      <c r="G10" s="10"/>
      <c r="H10" s="10" t="s">
        <v>1625</v>
      </c>
      <c r="I10" s="10"/>
      <c r="J10" s="10"/>
      <c r="K10" s="10"/>
      <c r="L10" s="98"/>
      <c r="M10" s="403" t="s">
        <v>1626</v>
      </c>
      <c r="N10" s="10"/>
      <c r="O10" s="10"/>
      <c r="P10" s="10"/>
      <c r="Q10" s="10"/>
      <c r="R10" s="10"/>
      <c r="S10" s="10"/>
      <c r="T10" s="10"/>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10"/>
      <c r="AY10" s="10"/>
    </row>
    <row r="11" spans="1:51" ht="14.25" hidden="1">
      <c r="A11" s="10"/>
      <c r="B11" s="10"/>
      <c r="C11" s="10"/>
      <c r="D11" s="10"/>
      <c r="E11" s="10"/>
      <c r="F11" s="10"/>
      <c r="G11" s="10"/>
      <c r="H11" s="10"/>
      <c r="I11" s="10"/>
      <c r="J11" s="10"/>
      <c r="K11" s="10"/>
      <c r="L11" s="98"/>
      <c r="M11" s="324"/>
      <c r="N11" s="10"/>
      <c r="O11" s="10"/>
      <c r="P11" s="10"/>
      <c r="Q11" s="10"/>
      <c r="R11" s="10"/>
      <c r="S11" s="10"/>
      <c r="T11" s="10" t="s">
        <v>1627</v>
      </c>
      <c r="U11" s="98"/>
      <c r="V11" s="98"/>
      <c r="W11" s="98"/>
      <c r="X11" s="98"/>
      <c r="Y11" s="98"/>
      <c r="Z11" s="391"/>
      <c r="AA11" s="98"/>
      <c r="AB11" s="98"/>
      <c r="AC11" s="98"/>
      <c r="AD11" s="98"/>
      <c r="AE11" s="98"/>
      <c r="AF11" s="98"/>
      <c r="AG11" s="98"/>
      <c r="AH11" s="98"/>
      <c r="AI11" s="98"/>
      <c r="AJ11" s="98"/>
      <c r="AK11" s="98"/>
      <c r="AL11" s="98"/>
      <c r="AM11" s="98"/>
      <c r="AN11" s="98"/>
      <c r="AO11" s="98"/>
      <c r="AP11" s="98"/>
      <c r="AQ11" s="98"/>
      <c r="AR11" s="98"/>
      <c r="AS11" s="98"/>
      <c r="AT11" s="98"/>
      <c r="AU11" s="98"/>
      <c r="AV11" s="391"/>
      <c r="AW11" s="391"/>
      <c r="AX11" s="10"/>
      <c r="AY11" s="10"/>
    </row>
    <row r="12" spans="1:51" ht="14.25" hidden="1">
      <c r="A12" s="10"/>
      <c r="B12" s="10"/>
      <c r="C12" s="10"/>
      <c r="D12" s="10"/>
      <c r="E12" s="10"/>
      <c r="F12" s="10"/>
      <c r="G12" s="10"/>
      <c r="H12" s="10"/>
      <c r="I12" s="10"/>
      <c r="J12" s="10"/>
      <c r="K12" s="10"/>
      <c r="L12" s="98"/>
      <c r="M12" s="324"/>
      <c r="N12" s="10"/>
      <c r="O12" s="10" t="s">
        <v>1628</v>
      </c>
      <c r="P12" s="10" t="s">
        <v>1628</v>
      </c>
      <c r="Q12" s="10" t="s">
        <v>1628</v>
      </c>
      <c r="R12" s="10" t="s">
        <v>1628</v>
      </c>
      <c r="S12" s="10" t="s">
        <v>1628</v>
      </c>
      <c r="T12" s="10" t="s">
        <v>167</v>
      </c>
      <c r="U12" s="98"/>
      <c r="V12" s="98"/>
      <c r="W12" s="98"/>
      <c r="X12" s="98"/>
      <c r="Y12" s="408"/>
      <c r="Z12" s="409"/>
      <c r="AA12" s="381"/>
      <c r="AB12" s="98"/>
      <c r="AC12" s="98"/>
      <c r="AD12" s="98"/>
      <c r="AE12" s="98"/>
      <c r="AF12" s="98"/>
      <c r="AG12" s="98"/>
      <c r="AH12" s="98"/>
      <c r="AI12" s="98"/>
      <c r="AJ12" s="98"/>
      <c r="AK12" s="98"/>
      <c r="AL12" s="98"/>
      <c r="AM12" s="98"/>
      <c r="AN12" s="98"/>
      <c r="AO12" s="98"/>
      <c r="AP12" s="98"/>
      <c r="AQ12" s="98"/>
      <c r="AR12" s="98"/>
      <c r="AS12" s="98"/>
      <c r="AT12" s="98"/>
      <c r="AU12" s="408"/>
      <c r="AV12" s="409"/>
      <c r="AW12" s="409"/>
      <c r="AX12" s="22"/>
      <c r="AY12" s="10"/>
    </row>
    <row r="13" spans="1:51" ht="14.25" hidden="1">
      <c r="A13" s="10"/>
      <c r="B13" s="10"/>
      <c r="C13" s="10"/>
      <c r="D13" s="10"/>
      <c r="E13" s="10"/>
      <c r="F13" s="10"/>
      <c r="G13" s="10"/>
      <c r="H13" s="10"/>
      <c r="I13" s="10"/>
      <c r="J13" s="10"/>
      <c r="K13" s="10"/>
      <c r="L13" s="98"/>
      <c r="M13" s="324"/>
      <c r="N13" s="10"/>
      <c r="O13" s="10"/>
      <c r="P13" s="10"/>
      <c r="Q13" s="10"/>
      <c r="R13" s="10"/>
      <c r="S13" s="10"/>
      <c r="T13" s="10" t="s">
        <v>161</v>
      </c>
      <c r="U13" s="98"/>
      <c r="V13" s="98"/>
      <c r="W13" s="98"/>
      <c r="X13" s="98"/>
      <c r="Y13" s="98"/>
      <c r="Z13" s="401"/>
      <c r="AA13" s="98"/>
      <c r="AB13" s="98"/>
      <c r="AC13" s="98"/>
      <c r="AD13" s="98"/>
      <c r="AE13" s="98"/>
      <c r="AF13" s="98"/>
      <c r="AG13" s="98"/>
      <c r="AH13" s="98"/>
      <c r="AI13" s="98"/>
      <c r="AJ13" s="98"/>
      <c r="AK13" s="98"/>
      <c r="AL13" s="98"/>
      <c r="AM13" s="98"/>
      <c r="AN13" s="98"/>
      <c r="AO13" s="98"/>
      <c r="AP13" s="98"/>
      <c r="AQ13" s="98"/>
      <c r="AR13" s="98"/>
      <c r="AS13" s="98"/>
      <c r="AT13" s="391"/>
      <c r="AU13" s="98"/>
      <c r="AV13" s="401"/>
      <c r="AW13" s="401"/>
      <c r="AX13" s="10"/>
      <c r="AY13" s="10"/>
    </row>
    <row r="14" spans="1:51" ht="14.25" hidden="1">
      <c r="A14" s="10"/>
      <c r="B14" s="10"/>
      <c r="C14" s="10"/>
      <c r="D14" s="10"/>
      <c r="E14" s="10"/>
      <c r="F14" s="10"/>
      <c r="G14" s="10"/>
      <c r="H14" s="10"/>
      <c r="I14" s="10"/>
      <c r="J14" s="10"/>
      <c r="K14" s="10"/>
      <c r="L14" s="98"/>
      <c r="M14" s="324"/>
      <c r="N14" s="10"/>
      <c r="O14" s="10" t="s">
        <v>1628</v>
      </c>
      <c r="P14" s="10" t="s">
        <v>1628</v>
      </c>
      <c r="Q14" s="10" t="s">
        <v>1628</v>
      </c>
      <c r="R14" s="10" t="s">
        <v>1628</v>
      </c>
      <c r="S14" s="10" t="s">
        <v>1628</v>
      </c>
      <c r="T14" s="10" t="s">
        <v>1629</v>
      </c>
      <c r="U14" s="98" t="s">
        <v>1630</v>
      </c>
      <c r="V14" s="98" t="s">
        <v>1631</v>
      </c>
      <c r="W14" s="98" t="s">
        <v>1632</v>
      </c>
      <c r="X14" s="98" t="s">
        <v>169</v>
      </c>
      <c r="Y14" s="408" t="s">
        <v>173</v>
      </c>
      <c r="Z14" s="409"/>
      <c r="AA14" s="381"/>
      <c r="AB14" s="98" t="s">
        <v>190</v>
      </c>
      <c r="AC14" s="98" t="s">
        <v>188</v>
      </c>
      <c r="AD14" s="98" t="s">
        <v>1633</v>
      </c>
      <c r="AE14" s="98" t="s">
        <v>1633</v>
      </c>
      <c r="AF14" s="98"/>
      <c r="AG14" s="98" t="s">
        <v>1634</v>
      </c>
      <c r="AH14" s="98" t="s">
        <v>1635</v>
      </c>
      <c r="AI14" s="98" t="s">
        <v>1636</v>
      </c>
      <c r="AJ14" s="98" t="s">
        <v>1637</v>
      </c>
      <c r="AK14" s="98" t="s">
        <v>1638</v>
      </c>
      <c r="AL14" s="98" t="s">
        <v>176</v>
      </c>
      <c r="AM14" s="98" t="s">
        <v>178</v>
      </c>
      <c r="AN14" s="98" t="s">
        <v>184</v>
      </c>
      <c r="AO14" s="98" t="s">
        <v>180</v>
      </c>
      <c r="AP14" s="98" t="s">
        <v>182</v>
      </c>
      <c r="AQ14" s="98" t="s">
        <v>194</v>
      </c>
      <c r="AR14" s="98" t="s">
        <v>196</v>
      </c>
      <c r="AS14" s="408" t="s">
        <v>200</v>
      </c>
      <c r="AT14" s="409" t="s">
        <v>1639</v>
      </c>
      <c r="AU14" s="406"/>
      <c r="AV14" s="409"/>
      <c r="AW14" s="409"/>
      <c r="AX14" s="22"/>
      <c r="AY14" s="10"/>
    </row>
    <row r="15" spans="1:51" ht="14.25" hidden="1">
      <c r="A15" s="10"/>
      <c r="B15" s="10"/>
      <c r="C15" s="10"/>
      <c r="D15" s="10"/>
      <c r="E15" s="10"/>
      <c r="F15" s="10"/>
      <c r="G15" s="10"/>
      <c r="H15" s="10"/>
      <c r="I15" s="10"/>
      <c r="J15" s="10"/>
      <c r="K15" s="10"/>
      <c r="L15" s="98"/>
      <c r="M15" s="324"/>
      <c r="N15" s="10"/>
      <c r="O15" s="10"/>
      <c r="P15" s="10"/>
      <c r="Q15" s="10"/>
      <c r="R15" s="10"/>
      <c r="S15" s="10"/>
      <c r="T15" s="10" t="s">
        <v>165</v>
      </c>
      <c r="U15" s="98"/>
      <c r="V15" s="98"/>
      <c r="W15" s="98"/>
      <c r="X15" s="98"/>
      <c r="Y15" s="408"/>
      <c r="Z15" s="409"/>
      <c r="AA15" s="381"/>
      <c r="AB15" s="98"/>
      <c r="AC15" s="98"/>
      <c r="AD15" s="98"/>
      <c r="AE15" s="98"/>
      <c r="AF15" s="98"/>
      <c r="AG15" s="98"/>
      <c r="AH15" s="98"/>
      <c r="AI15" s="98"/>
      <c r="AJ15" s="98"/>
      <c r="AK15" s="98"/>
      <c r="AL15" s="98"/>
      <c r="AM15" s="98"/>
      <c r="AN15" s="98"/>
      <c r="AO15" s="98"/>
      <c r="AP15" s="98"/>
      <c r="AQ15" s="98"/>
      <c r="AR15" s="98"/>
      <c r="AS15" s="98"/>
      <c r="AT15" s="398"/>
      <c r="AU15" s="408"/>
      <c r="AV15" s="409"/>
      <c r="AW15" s="409"/>
      <c r="AX15" s="22"/>
      <c r="AY15" s="10"/>
    </row>
    <row r="16" spans="1:51" ht="14.25" hidden="1">
      <c r="A16" s="10"/>
      <c r="B16" s="10"/>
      <c r="C16" s="10"/>
      <c r="D16" s="10"/>
      <c r="E16" s="10"/>
      <c r="F16" s="10"/>
      <c r="G16" s="10"/>
      <c r="H16" s="10"/>
      <c r="I16" s="10"/>
      <c r="J16" s="10"/>
      <c r="K16" s="10"/>
      <c r="L16" s="98"/>
      <c r="M16" s="324"/>
      <c r="N16" s="10"/>
      <c r="O16" s="10"/>
      <c r="P16" s="10"/>
      <c r="Q16" s="10"/>
      <c r="R16" s="10"/>
      <c r="S16" s="10"/>
      <c r="T16" s="10"/>
      <c r="U16" s="98"/>
      <c r="V16" s="98"/>
      <c r="W16" s="98"/>
      <c r="X16" s="98"/>
      <c r="Y16" s="98"/>
      <c r="Z16" s="398"/>
      <c r="AA16" s="98"/>
      <c r="AB16" s="98"/>
      <c r="AC16" s="98"/>
      <c r="AD16" s="98"/>
      <c r="AE16" s="98"/>
      <c r="AF16" s="98"/>
      <c r="AG16" s="98"/>
      <c r="AH16" s="98"/>
      <c r="AI16" s="98"/>
      <c r="AJ16" s="98"/>
      <c r="AK16" s="98"/>
      <c r="AL16" s="98"/>
      <c r="AM16" s="98"/>
      <c r="AN16" s="98"/>
      <c r="AO16" s="98"/>
      <c r="AP16" s="98"/>
      <c r="AQ16" s="98"/>
      <c r="AR16" s="98"/>
      <c r="AS16" s="98"/>
      <c r="AT16" s="98"/>
      <c r="AU16" s="98"/>
      <c r="AV16" s="398"/>
      <c r="AW16" s="398"/>
      <c r="AX16" s="10"/>
      <c r="AY16" s="10"/>
    </row>
    <row r="17" spans="1:51" ht="14.25" hidden="1">
      <c r="A17" s="10"/>
      <c r="B17" s="10"/>
      <c r="C17" s="10"/>
      <c r="D17" s="10"/>
      <c r="E17" s="10"/>
      <c r="F17" s="10"/>
      <c r="G17" s="10"/>
      <c r="H17" s="10"/>
      <c r="I17" s="10"/>
      <c r="J17" s="10"/>
      <c r="K17" s="10"/>
      <c r="L17" s="98"/>
      <c r="M17" s="324"/>
      <c r="N17" s="10"/>
      <c r="O17" s="10"/>
      <c r="P17" s="10"/>
      <c r="Q17" s="10"/>
      <c r="R17" s="10"/>
      <c r="S17" s="10"/>
      <c r="T17" s="10"/>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10"/>
      <c r="AY17" s="10"/>
    </row>
    <row r="18" spans="1:51" ht="14.25" hidden="1">
      <c r="A18" s="10"/>
      <c r="B18" s="10"/>
      <c r="C18" s="10"/>
      <c r="D18" s="10"/>
      <c r="E18" s="10"/>
      <c r="F18" s="10"/>
      <c r="G18" s="10"/>
      <c r="H18" s="10"/>
      <c r="I18" s="10"/>
      <c r="J18" s="10"/>
      <c r="K18" s="10"/>
      <c r="L18" s="98"/>
      <c r="M18" s="324"/>
      <c r="N18" s="10"/>
      <c r="O18" s="10"/>
      <c r="P18" s="10"/>
      <c r="Q18" s="10"/>
      <c r="R18" s="10"/>
      <c r="S18" s="10"/>
      <c r="T18" s="10"/>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10"/>
      <c r="AY18" s="10"/>
    </row>
    <row r="19" spans="1:51" ht="14.25" hidden="1">
      <c r="A19" s="10"/>
      <c r="B19" s="10"/>
      <c r="C19" s="10"/>
      <c r="D19" s="10"/>
      <c r="E19" s="10"/>
      <c r="F19" s="10"/>
      <c r="G19" s="10"/>
      <c r="H19" s="10"/>
      <c r="I19" s="10"/>
      <c r="J19" s="10"/>
      <c r="K19" s="10"/>
      <c r="L19" s="98"/>
      <c r="M19" s="324"/>
      <c r="N19" s="10"/>
      <c r="O19" s="10"/>
      <c r="P19" s="10"/>
      <c r="Q19" s="10"/>
      <c r="R19" s="10"/>
      <c r="S19" s="10"/>
      <c r="T19" s="10"/>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10"/>
      <c r="AY19" s="10"/>
    </row>
    <row r="20" spans="1:51" ht="14.25" hidden="1">
      <c r="A20" s="10"/>
      <c r="B20" s="10"/>
      <c r="C20" s="10"/>
      <c r="D20" s="10"/>
      <c r="E20" s="10"/>
      <c r="F20" s="10"/>
      <c r="G20" s="10"/>
      <c r="H20" s="10"/>
      <c r="I20" s="10"/>
      <c r="J20" s="10"/>
      <c r="K20" s="10"/>
      <c r="L20" s="98"/>
      <c r="M20" s="324"/>
      <c r="N20" s="10"/>
      <c r="O20" s="10"/>
      <c r="P20" s="10"/>
      <c r="Q20" s="10"/>
      <c r="R20" s="10"/>
      <c r="S20" s="10"/>
      <c r="T20" s="10"/>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10"/>
      <c r="AY20" s="10"/>
    </row>
    <row r="21" spans="1:51" ht="14.25" hidden="1">
      <c r="A21" s="10"/>
      <c r="B21" s="10"/>
      <c r="C21" s="10"/>
      <c r="D21" s="10"/>
      <c r="E21" s="10"/>
      <c r="F21" s="10"/>
      <c r="G21" s="10"/>
      <c r="H21" s="10"/>
      <c r="I21" s="10"/>
      <c r="J21" s="10"/>
      <c r="K21" s="10"/>
      <c r="L21" s="98"/>
      <c r="M21" s="324"/>
      <c r="N21" s="10"/>
      <c r="O21" s="10"/>
      <c r="P21" s="10"/>
      <c r="Q21" s="10"/>
      <c r="R21" s="10"/>
      <c r="S21" s="10"/>
      <c r="T21" s="10"/>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10"/>
      <c r="AY21" s="10"/>
    </row>
    <row r="22" spans="1:51" ht="14.25" hidden="1">
      <c r="A22" s="10"/>
      <c r="B22" s="10"/>
      <c r="C22" s="10"/>
      <c r="D22" s="10"/>
      <c r="E22" s="10"/>
      <c r="F22" s="10"/>
      <c r="G22" s="10"/>
      <c r="H22" s="10"/>
      <c r="I22" s="10"/>
      <c r="J22" s="10"/>
      <c r="K22" s="10"/>
      <c r="L22" s="98"/>
      <c r="M22" s="324"/>
      <c r="N22" s="10"/>
      <c r="O22" s="10"/>
      <c r="P22" s="10"/>
      <c r="Q22" s="10"/>
      <c r="R22" s="10"/>
      <c r="S22" s="10"/>
      <c r="T22" s="10"/>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10"/>
      <c r="AY22" s="10"/>
    </row>
    <row r="23" spans="1:51" ht="14.25" hidden="1">
      <c r="A23" s="10"/>
      <c r="B23" s="10"/>
      <c r="C23" s="10"/>
      <c r="D23" s="10"/>
      <c r="E23" s="10"/>
      <c r="F23" s="10"/>
      <c r="G23" s="10"/>
      <c r="H23" s="10"/>
      <c r="I23" s="10"/>
      <c r="J23" s="77"/>
      <c r="K23" s="77"/>
      <c r="L23" s="104"/>
      <c r="M23" s="410"/>
      <c r="N23" s="10"/>
      <c r="O23" s="10"/>
      <c r="P23" s="10"/>
      <c r="Q23" s="10"/>
      <c r="R23" s="10"/>
      <c r="S23" s="10"/>
      <c r="T23" s="10"/>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10"/>
      <c r="AY23" s="10"/>
    </row>
    <row r="24" spans="1:51" ht="18">
      <c r="A24" s="10"/>
      <c r="B24" s="10"/>
      <c r="C24" s="10"/>
      <c r="D24" s="10"/>
      <c r="E24" s="10"/>
      <c r="F24" s="10"/>
      <c r="G24" s="10"/>
      <c r="H24" s="10"/>
      <c r="I24" s="99"/>
      <c r="J24" s="411"/>
      <c r="K24" s="90"/>
      <c r="L24" s="186"/>
      <c r="M24" s="412"/>
      <c r="N24" s="28"/>
      <c r="O24" s="77"/>
      <c r="P24" s="77"/>
      <c r="Q24" s="77"/>
      <c r="R24" s="77"/>
      <c r="S24" s="77"/>
      <c r="T24" s="77"/>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98"/>
      <c r="AV24" s="104"/>
      <c r="AW24" s="104"/>
      <c r="AX24" s="10"/>
      <c r="AY24" s="10"/>
    </row>
    <row r="25" spans="1:51" ht="14.25">
      <c r="A25" s="10"/>
      <c r="B25" s="10"/>
      <c r="C25" s="10"/>
      <c r="D25" s="10"/>
      <c r="E25" s="10"/>
      <c r="F25" s="10"/>
      <c r="G25" s="10"/>
      <c r="H25" s="10"/>
      <c r="I25" s="10"/>
      <c r="J25" s="92"/>
      <c r="K25" s="92"/>
      <c r="L25" s="107"/>
      <c r="M25" s="413"/>
      <c r="N25" s="99"/>
      <c r="O25" s="414"/>
      <c r="P25" s="415"/>
      <c r="Q25" s="415"/>
      <c r="R25" s="415"/>
      <c r="S25" s="416"/>
      <c r="T25" s="648" t="s">
        <v>1640</v>
      </c>
      <c r="U25" s="649"/>
      <c r="V25" s="649"/>
      <c r="W25" s="649"/>
      <c r="X25" s="649"/>
      <c r="Y25" s="649"/>
      <c r="Z25" s="649"/>
      <c r="AA25" s="649"/>
      <c r="AB25" s="649"/>
      <c r="AC25" s="649"/>
      <c r="AD25" s="649"/>
      <c r="AE25" s="649"/>
      <c r="AF25" s="649"/>
      <c r="AG25" s="649"/>
      <c r="AH25" s="649"/>
      <c r="AI25" s="649"/>
      <c r="AJ25" s="649"/>
      <c r="AK25" s="649"/>
      <c r="AL25" s="649"/>
      <c r="AM25" s="649"/>
      <c r="AN25" s="649"/>
      <c r="AO25" s="649"/>
      <c r="AP25" s="649"/>
      <c r="AQ25" s="649"/>
      <c r="AR25" s="650"/>
      <c r="AS25" s="651"/>
      <c r="AT25" s="651"/>
      <c r="AU25" s="103"/>
      <c r="AV25" s="648" t="s">
        <v>1641</v>
      </c>
      <c r="AW25" s="650"/>
      <c r="AX25" s="28"/>
      <c r="AY25" s="10"/>
    </row>
    <row r="26" spans="1:51" ht="15.75">
      <c r="A26" s="418"/>
      <c r="B26" s="77"/>
      <c r="C26" s="77"/>
      <c r="D26" s="77"/>
      <c r="E26" s="77"/>
      <c r="F26" s="77"/>
      <c r="G26" s="77"/>
      <c r="H26" s="10"/>
      <c r="I26" s="10"/>
      <c r="J26" s="77"/>
      <c r="K26" s="77"/>
      <c r="L26" s="98"/>
      <c r="M26" s="410"/>
      <c r="N26" s="99"/>
      <c r="O26" s="417" t="s">
        <v>1642</v>
      </c>
      <c r="P26" s="417" t="s">
        <v>1642</v>
      </c>
      <c r="Q26" s="417" t="s">
        <v>1642</v>
      </c>
      <c r="R26" s="417" t="s">
        <v>1642</v>
      </c>
      <c r="S26" s="417" t="s">
        <v>1642</v>
      </c>
      <c r="T26" s="648" t="s">
        <v>1642</v>
      </c>
      <c r="U26" s="649"/>
      <c r="V26" s="649"/>
      <c r="W26" s="650"/>
      <c r="X26" s="651"/>
      <c r="Y26" s="651"/>
      <c r="Z26" s="651"/>
      <c r="AA26" s="419" t="s">
        <v>1643</v>
      </c>
      <c r="AB26" s="652" t="s">
        <v>1643</v>
      </c>
      <c r="AC26" s="653"/>
      <c r="AD26" s="653"/>
      <c r="AE26" s="654"/>
      <c r="AF26" s="419" t="s">
        <v>1644</v>
      </c>
      <c r="AG26" s="652" t="s">
        <v>1644</v>
      </c>
      <c r="AH26" s="653"/>
      <c r="AI26" s="653"/>
      <c r="AJ26" s="653"/>
      <c r="AK26" s="654"/>
      <c r="AL26" s="652" t="s">
        <v>1645</v>
      </c>
      <c r="AM26" s="653"/>
      <c r="AN26" s="654"/>
      <c r="AO26" s="652" t="s">
        <v>1646</v>
      </c>
      <c r="AP26" s="654"/>
      <c r="AQ26" s="652" t="s">
        <v>1647</v>
      </c>
      <c r="AR26" s="653"/>
      <c r="AS26" s="654"/>
      <c r="AT26" s="419" t="s">
        <v>1648</v>
      </c>
      <c r="AU26" s="420"/>
      <c r="AV26" s="419" t="s">
        <v>1642</v>
      </c>
      <c r="AW26" s="419" t="s">
        <v>1646</v>
      </c>
      <c r="AX26" s="28"/>
      <c r="AY26" s="10"/>
    </row>
    <row r="27" spans="1:51" ht="55.5" customHeight="1">
      <c r="A27" s="421" t="s">
        <v>1581</v>
      </c>
      <c r="B27" s="422" t="s">
        <v>1589</v>
      </c>
      <c r="C27" s="422" t="s">
        <v>1590</v>
      </c>
      <c r="D27" s="422" t="s">
        <v>1591</v>
      </c>
      <c r="E27" s="422" t="s">
        <v>1595</v>
      </c>
      <c r="F27" s="422" t="s">
        <v>1649</v>
      </c>
      <c r="G27" s="423" t="s">
        <v>1626</v>
      </c>
      <c r="H27" s="424"/>
      <c r="I27" s="425"/>
      <c r="J27" s="655" t="s">
        <v>335</v>
      </c>
      <c r="K27" s="656"/>
      <c r="L27" s="325"/>
      <c r="M27" s="426" t="s">
        <v>156</v>
      </c>
      <c r="N27" s="427"/>
      <c r="O27" s="428" t="s">
        <v>1650</v>
      </c>
      <c r="P27" s="428" t="s">
        <v>1651</v>
      </c>
      <c r="Q27" s="428" t="s">
        <v>1652</v>
      </c>
      <c r="R27" s="428" t="s">
        <v>1653</v>
      </c>
      <c r="S27" s="428" t="s">
        <v>1654</v>
      </c>
      <c r="T27" s="429" t="s">
        <v>1655</v>
      </c>
      <c r="U27" s="429" t="s">
        <v>1656</v>
      </c>
      <c r="V27" s="429" t="s">
        <v>1657</v>
      </c>
      <c r="W27" s="429" t="s">
        <v>1658</v>
      </c>
      <c r="X27" s="429" t="s">
        <v>1659</v>
      </c>
      <c r="Y27" s="429" t="s">
        <v>1660</v>
      </c>
      <c r="Z27" s="429" t="s">
        <v>1661</v>
      </c>
      <c r="AA27" s="429" t="s">
        <v>1662</v>
      </c>
      <c r="AB27" s="430" t="s">
        <v>1663</v>
      </c>
      <c r="AC27" s="430" t="s">
        <v>1664</v>
      </c>
      <c r="AD27" s="430" t="s">
        <v>1665</v>
      </c>
      <c r="AE27" s="430" t="s">
        <v>1666</v>
      </c>
      <c r="AF27" s="429" t="s">
        <v>1667</v>
      </c>
      <c r="AG27" s="430" t="s">
        <v>1668</v>
      </c>
      <c r="AH27" s="430" t="s">
        <v>1669</v>
      </c>
      <c r="AI27" s="430" t="s">
        <v>1670</v>
      </c>
      <c r="AJ27" s="430" t="s">
        <v>1671</v>
      </c>
      <c r="AK27" s="430" t="s">
        <v>1672</v>
      </c>
      <c r="AL27" s="429" t="s">
        <v>1673</v>
      </c>
      <c r="AM27" s="429" t="s">
        <v>1674</v>
      </c>
      <c r="AN27" s="429" t="s">
        <v>1675</v>
      </c>
      <c r="AO27" s="429" t="s">
        <v>1676</v>
      </c>
      <c r="AP27" s="429" t="s">
        <v>1677</v>
      </c>
      <c r="AQ27" s="429" t="s">
        <v>1678</v>
      </c>
      <c r="AR27" s="429" t="s">
        <v>1679</v>
      </c>
      <c r="AS27" s="429" t="s">
        <v>1680</v>
      </c>
      <c r="AT27" s="429" t="s">
        <v>1639</v>
      </c>
      <c r="AU27" s="431"/>
      <c r="AV27" s="429" t="s">
        <v>1681</v>
      </c>
      <c r="AW27" s="429" t="s">
        <v>1682</v>
      </c>
      <c r="AX27" s="327"/>
      <c r="AY27" s="328"/>
    </row>
    <row r="28" spans="1:51" ht="14.25">
      <c r="A28" s="92" t="str">
        <f>LEFT(T28,2)</f>
        <v/>
      </c>
      <c r="B28" s="92"/>
      <c r="C28" s="92"/>
      <c r="D28" s="91"/>
      <c r="E28" s="91"/>
      <c r="F28" s="91"/>
      <c r="G28" s="92"/>
      <c r="H28" s="10"/>
      <c r="I28" s="10"/>
      <c r="J28" s="344"/>
      <c r="K28" s="344"/>
      <c r="L28" s="98"/>
      <c r="M28" s="240"/>
      <c r="N28" s="10"/>
      <c r="O28" s="346"/>
      <c r="P28" s="346"/>
      <c r="Q28" s="346"/>
      <c r="R28" s="346"/>
      <c r="S28" s="346"/>
      <c r="T28" s="34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7"/>
      <c r="AU28" s="245"/>
      <c r="AV28" s="186"/>
      <c r="AW28" s="186"/>
      <c r="AX28" s="10"/>
      <c r="AY28" s="10"/>
    </row>
    <row r="29" spans="1:51" ht="15.75" customHeight="1">
      <c r="A29" s="432"/>
      <c r="B29" s="433"/>
      <c r="C29" s="433"/>
      <c r="D29" s="433"/>
      <c r="E29" s="433"/>
      <c r="F29" s="433"/>
      <c r="G29" s="433"/>
      <c r="H29" s="434"/>
      <c r="I29" s="435"/>
      <c r="J29" s="436" t="s">
        <v>1683</v>
      </c>
      <c r="K29" s="437"/>
      <c r="L29" s="357"/>
      <c r="M29" s="438"/>
      <c r="N29" s="439"/>
      <c r="O29" s="438">
        <v>0</v>
      </c>
      <c r="P29" s="438">
        <v>0</v>
      </c>
      <c r="Q29" s="438">
        <v>0</v>
      </c>
      <c r="R29" s="438">
        <v>0</v>
      </c>
      <c r="S29" s="438">
        <v>0</v>
      </c>
      <c r="T29" s="438"/>
      <c r="U29" s="438"/>
      <c r="V29" s="438"/>
      <c r="W29" s="438">
        <f>'Revenue - Table 1'!E14</f>
        <v>77723</v>
      </c>
      <c r="X29" s="438">
        <f>'Revenue - Table 1'!E13</f>
        <v>16581</v>
      </c>
      <c r="Y29" s="438">
        <f>'Revenue - Table 1'!E15</f>
        <v>0</v>
      </c>
      <c r="Z29" s="440">
        <v>0</v>
      </c>
      <c r="AA29" s="438">
        <f>SUM(AB29:AE29)</f>
        <v>0</v>
      </c>
      <c r="AB29" s="438">
        <f>'Revenue - Table 1'!E31</f>
        <v>0</v>
      </c>
      <c r="AC29" s="438">
        <f>'Revenue - Table 1'!E30</f>
        <v>0</v>
      </c>
      <c r="AD29" s="438"/>
      <c r="AE29" s="438">
        <f>'Revenue - Table 1'!E32</f>
        <v>0</v>
      </c>
      <c r="AF29" s="438">
        <f>SUM(AG29:AK29)</f>
        <v>0</v>
      </c>
      <c r="AG29" s="438"/>
      <c r="AH29" s="438"/>
      <c r="AI29" s="438"/>
      <c r="AJ29" s="438"/>
      <c r="AK29" s="438"/>
      <c r="AL29" s="438">
        <f>'Revenue - Table 1'!E22</f>
        <v>16905</v>
      </c>
      <c r="AM29" s="438">
        <f>'Revenue - Table 1'!E23</f>
        <v>5390</v>
      </c>
      <c r="AN29" s="438">
        <f>'Revenue - Table 1'!E26</f>
        <v>1470</v>
      </c>
      <c r="AO29" s="438">
        <f>'Revenue - Table 1'!E24</f>
        <v>0</v>
      </c>
      <c r="AP29" s="438">
        <f>'Revenue - Table 1'!E25</f>
        <v>2450</v>
      </c>
      <c r="AQ29" s="438">
        <f>'Revenue - Table 1'!E37</f>
        <v>84864</v>
      </c>
      <c r="AR29" s="438">
        <f>'Revenue - Table 1'!E38</f>
        <v>9310</v>
      </c>
      <c r="AS29" s="438">
        <f>'Revenue - Table 1'!E40</f>
        <v>0</v>
      </c>
      <c r="AT29" s="438"/>
      <c r="AU29" s="441"/>
      <c r="AV29" s="438"/>
      <c r="AW29" s="438">
        <f>'Revenue - Table 1'!E44</f>
        <v>155266</v>
      </c>
      <c r="AX29" s="443"/>
      <c r="AY29" s="442"/>
    </row>
    <row r="30" spans="1:51" ht="15.75" customHeight="1">
      <c r="A30" s="432"/>
      <c r="B30" s="433"/>
      <c r="C30" s="433"/>
      <c r="D30" s="433"/>
      <c r="E30" s="433"/>
      <c r="F30" s="433"/>
      <c r="G30" s="433"/>
      <c r="H30" s="434"/>
      <c r="I30" s="435"/>
      <c r="J30" s="444" t="s">
        <v>358</v>
      </c>
      <c r="K30" s="445"/>
      <c r="L30" s="357"/>
      <c r="M30" s="359"/>
      <c r="N30" s="439"/>
      <c r="O30" s="359">
        <f t="shared" ref="O30:Z30" si="0">O29-O364</f>
        <v>0</v>
      </c>
      <c r="P30" s="359">
        <f t="shared" si="0"/>
        <v>0</v>
      </c>
      <c r="Q30" s="359">
        <f t="shared" si="0"/>
        <v>0</v>
      </c>
      <c r="R30" s="359">
        <f t="shared" si="0"/>
        <v>0</v>
      </c>
      <c r="S30" s="359">
        <f t="shared" si="0"/>
        <v>0</v>
      </c>
      <c r="T30" s="359">
        <f t="shared" si="0"/>
        <v>0</v>
      </c>
      <c r="U30" s="359">
        <f t="shared" si="0"/>
        <v>0</v>
      </c>
      <c r="V30" s="359">
        <f t="shared" si="0"/>
        <v>0</v>
      </c>
      <c r="W30" s="359">
        <f t="shared" si="0"/>
        <v>77723</v>
      </c>
      <c r="X30" s="359">
        <f t="shared" si="0"/>
        <v>16581</v>
      </c>
      <c r="Y30" s="359">
        <f t="shared" si="0"/>
        <v>0</v>
      </c>
      <c r="Z30" s="359">
        <f t="shared" si="0"/>
        <v>0</v>
      </c>
      <c r="AA30" s="359">
        <f>SUM(AB30:AE30)</f>
        <v>0</v>
      </c>
      <c r="AB30" s="359">
        <f>AB29-AB364</f>
        <v>0</v>
      </c>
      <c r="AC30" s="359">
        <f>AC29-AC364</f>
        <v>0</v>
      </c>
      <c r="AD30" s="359">
        <f>AD29-AD364</f>
        <v>0</v>
      </c>
      <c r="AE30" s="359">
        <f>AE29-AE364</f>
        <v>0</v>
      </c>
      <c r="AF30" s="359">
        <f>SUM(AG30:AK30)</f>
        <v>0</v>
      </c>
      <c r="AG30" s="359">
        <f t="shared" ref="AG30:AT30" si="1">AG29-AG364</f>
        <v>0</v>
      </c>
      <c r="AH30" s="359">
        <f t="shared" si="1"/>
        <v>0</v>
      </c>
      <c r="AI30" s="359">
        <f t="shared" si="1"/>
        <v>0</v>
      </c>
      <c r="AJ30" s="359">
        <f t="shared" si="1"/>
        <v>0</v>
      </c>
      <c r="AK30" s="359">
        <f t="shared" si="1"/>
        <v>0</v>
      </c>
      <c r="AL30" s="359">
        <f t="shared" si="1"/>
        <v>16905</v>
      </c>
      <c r="AM30" s="359">
        <f t="shared" si="1"/>
        <v>5390</v>
      </c>
      <c r="AN30" s="359">
        <f t="shared" si="1"/>
        <v>1470</v>
      </c>
      <c r="AO30" s="359">
        <f t="shared" si="1"/>
        <v>0</v>
      </c>
      <c r="AP30" s="359">
        <f t="shared" si="1"/>
        <v>2450</v>
      </c>
      <c r="AQ30" s="359">
        <f t="shared" si="1"/>
        <v>84864</v>
      </c>
      <c r="AR30" s="359">
        <f t="shared" si="1"/>
        <v>9310</v>
      </c>
      <c r="AS30" s="359">
        <f t="shared" si="1"/>
        <v>0</v>
      </c>
      <c r="AT30" s="359">
        <f t="shared" si="1"/>
        <v>0</v>
      </c>
      <c r="AU30" s="441"/>
      <c r="AV30" s="359">
        <f>AV29-AV364</f>
        <v>0</v>
      </c>
      <c r="AW30" s="359">
        <f>AW29-AW364</f>
        <v>155266</v>
      </c>
      <c r="AX30" s="443"/>
      <c r="AY30" s="442"/>
    </row>
    <row r="31" spans="1:51" ht="14.25">
      <c r="A31" s="10" t="str">
        <f>LEFT(T31,2)</f>
        <v/>
      </c>
      <c r="B31" s="10"/>
      <c r="C31" s="10"/>
      <c r="D31" s="76"/>
      <c r="E31" s="76"/>
      <c r="F31" s="76"/>
      <c r="G31" s="10"/>
      <c r="H31" s="10"/>
      <c r="I31" s="10"/>
      <c r="J31" s="360"/>
      <c r="K31" s="360"/>
      <c r="L31" s="98"/>
      <c r="M31" s="413"/>
      <c r="N31" s="10"/>
      <c r="O31" s="361"/>
      <c r="P31" s="361"/>
      <c r="Q31" s="361"/>
      <c r="R31" s="361"/>
      <c r="S31" s="361"/>
      <c r="T31" s="361"/>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98"/>
      <c r="AV31" s="107"/>
      <c r="AW31" s="107"/>
      <c r="AX31" s="10"/>
      <c r="AY31" s="10"/>
    </row>
    <row r="32" spans="1:51" ht="14.25" hidden="1">
      <c r="A32" s="77"/>
      <c r="B32" s="77"/>
      <c r="C32" s="77"/>
      <c r="D32" s="78"/>
      <c r="E32" s="78"/>
      <c r="F32" s="78"/>
      <c r="G32" s="77"/>
      <c r="H32" s="77"/>
      <c r="I32" s="77"/>
      <c r="J32" s="362"/>
      <c r="K32" s="362"/>
      <c r="L32" s="98"/>
      <c r="M32" s="410"/>
      <c r="N32" s="10"/>
      <c r="O32" s="363"/>
      <c r="P32" s="363"/>
      <c r="Q32" s="363"/>
      <c r="R32" s="363"/>
      <c r="S32" s="363"/>
      <c r="T32" s="363"/>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98"/>
      <c r="AV32" s="104"/>
      <c r="AW32" s="104"/>
      <c r="AX32" s="10"/>
      <c r="AY32" s="10"/>
    </row>
    <row r="33" spans="1:51" ht="15" customHeight="1">
      <c r="A33" s="36"/>
      <c r="B33" s="37"/>
      <c r="C33" s="37"/>
      <c r="D33" s="446"/>
      <c r="E33" s="446"/>
      <c r="F33" s="446">
        <v>1</v>
      </c>
      <c r="G33" s="447" t="s">
        <v>474</v>
      </c>
      <c r="H33" s="657" t="s">
        <v>1684</v>
      </c>
      <c r="I33" s="658"/>
      <c r="J33" s="448" t="s">
        <v>359</v>
      </c>
      <c r="K33" s="449"/>
      <c r="L33" s="103"/>
      <c r="M33" s="450"/>
      <c r="N33" s="81"/>
      <c r="O33" s="451">
        <v>0</v>
      </c>
      <c r="P33" s="452">
        <v>0</v>
      </c>
      <c r="Q33" s="452">
        <v>0</v>
      </c>
      <c r="R33" s="452">
        <v>0</v>
      </c>
      <c r="S33" s="453">
        <v>0</v>
      </c>
      <c r="T33" s="451">
        <f>SUM(O33:S33)</f>
        <v>0</v>
      </c>
      <c r="U33" s="452">
        <v>0</v>
      </c>
      <c r="V33" s="452">
        <v>0</v>
      </c>
      <c r="W33" s="452">
        <v>0</v>
      </c>
      <c r="X33" s="452">
        <v>0</v>
      </c>
      <c r="Y33" s="452">
        <v>0</v>
      </c>
      <c r="Z33" s="452">
        <v>0</v>
      </c>
      <c r="AA33" s="452">
        <f>SUM(AB33:AE33)</f>
        <v>0</v>
      </c>
      <c r="AB33" s="452">
        <v>0</v>
      </c>
      <c r="AC33" s="452">
        <v>0</v>
      </c>
      <c r="AD33" s="452">
        <v>0</v>
      </c>
      <c r="AE33" s="452">
        <v>0</v>
      </c>
      <c r="AF33" s="452">
        <f>SUM(AG33:AK33)</f>
        <v>0</v>
      </c>
      <c r="AG33" s="452">
        <v>0</v>
      </c>
      <c r="AH33" s="452">
        <v>0</v>
      </c>
      <c r="AI33" s="452">
        <v>0</v>
      </c>
      <c r="AJ33" s="452">
        <v>0</v>
      </c>
      <c r="AK33" s="452">
        <v>0</v>
      </c>
      <c r="AL33" s="452">
        <v>0</v>
      </c>
      <c r="AM33" s="452">
        <v>0</v>
      </c>
      <c r="AN33" s="452">
        <v>0</v>
      </c>
      <c r="AO33" s="452">
        <v>0</v>
      </c>
      <c r="AP33" s="452">
        <v>0</v>
      </c>
      <c r="AQ33" s="452">
        <v>0</v>
      </c>
      <c r="AR33" s="452">
        <v>0</v>
      </c>
      <c r="AS33" s="452">
        <v>0</v>
      </c>
      <c r="AT33" s="453">
        <v>0</v>
      </c>
      <c r="AU33" s="454"/>
      <c r="AV33" s="451">
        <v>0</v>
      </c>
      <c r="AW33" s="453">
        <v>0</v>
      </c>
      <c r="AX33" s="28"/>
      <c r="AY33" s="10"/>
    </row>
    <row r="34" spans="1:51" ht="15" customHeight="1">
      <c r="A34" s="40"/>
      <c r="B34" s="12"/>
      <c r="C34" s="12"/>
      <c r="D34" s="455"/>
      <c r="E34" s="455"/>
      <c r="F34" s="455">
        <v>2</v>
      </c>
      <c r="G34" s="41" t="s">
        <v>474</v>
      </c>
      <c r="H34" s="659"/>
      <c r="I34" s="660"/>
      <c r="J34" s="456" t="s">
        <v>360</v>
      </c>
      <c r="K34" s="457"/>
      <c r="L34" s="103"/>
      <c r="M34" s="458"/>
      <c r="N34" s="103"/>
      <c r="O34" s="459">
        <v>0</v>
      </c>
      <c r="P34" s="460">
        <v>0</v>
      </c>
      <c r="Q34" s="460">
        <v>0</v>
      </c>
      <c r="R34" s="460">
        <v>0</v>
      </c>
      <c r="S34" s="461">
        <v>0</v>
      </c>
      <c r="T34" s="459">
        <f>SUM(O34:S34)</f>
        <v>0</v>
      </c>
      <c r="U34" s="460">
        <v>0</v>
      </c>
      <c r="V34" s="460">
        <v>0</v>
      </c>
      <c r="W34" s="460">
        <v>0</v>
      </c>
      <c r="X34" s="460">
        <v>0</v>
      </c>
      <c r="Y34" s="460">
        <v>0</v>
      </c>
      <c r="Z34" s="460">
        <v>0</v>
      </c>
      <c r="AA34" s="460">
        <f>SUM(AB34:AE34)</f>
        <v>0</v>
      </c>
      <c r="AB34" s="460">
        <v>0</v>
      </c>
      <c r="AC34" s="460">
        <v>0</v>
      </c>
      <c r="AD34" s="460">
        <v>0</v>
      </c>
      <c r="AE34" s="460">
        <v>0</v>
      </c>
      <c r="AF34" s="460">
        <f>SUM(AG34:AK34)</f>
        <v>0</v>
      </c>
      <c r="AG34" s="460">
        <v>0</v>
      </c>
      <c r="AH34" s="460">
        <v>0</v>
      </c>
      <c r="AI34" s="460">
        <v>0</v>
      </c>
      <c r="AJ34" s="460">
        <v>0</v>
      </c>
      <c r="AK34" s="460">
        <v>0</v>
      </c>
      <c r="AL34" s="460">
        <v>0</v>
      </c>
      <c r="AM34" s="460">
        <v>0</v>
      </c>
      <c r="AN34" s="460">
        <v>0</v>
      </c>
      <c r="AO34" s="460">
        <v>0</v>
      </c>
      <c r="AP34" s="460">
        <v>0</v>
      </c>
      <c r="AQ34" s="460">
        <v>0</v>
      </c>
      <c r="AR34" s="460">
        <v>0</v>
      </c>
      <c r="AS34" s="460">
        <v>0</v>
      </c>
      <c r="AT34" s="461">
        <v>0</v>
      </c>
      <c r="AU34" s="454"/>
      <c r="AV34" s="459">
        <v>0</v>
      </c>
      <c r="AW34" s="461">
        <v>0</v>
      </c>
      <c r="AX34" s="28"/>
      <c r="AY34" s="10"/>
    </row>
    <row r="35" spans="1:51" ht="15" customHeight="1">
      <c r="A35" s="40"/>
      <c r="B35" s="12"/>
      <c r="C35" s="12"/>
      <c r="D35" s="455"/>
      <c r="E35" s="455"/>
      <c r="F35" s="455">
        <v>3</v>
      </c>
      <c r="G35" s="41" t="s">
        <v>474</v>
      </c>
      <c r="H35" s="659"/>
      <c r="I35" s="660"/>
      <c r="J35" s="456" t="s">
        <v>361</v>
      </c>
      <c r="K35" s="457"/>
      <c r="L35" s="103"/>
      <c r="M35" s="458"/>
      <c r="N35" s="81"/>
      <c r="O35" s="459"/>
      <c r="P35" s="460">
        <v>0</v>
      </c>
      <c r="Q35" s="460">
        <v>0</v>
      </c>
      <c r="R35" s="460">
        <v>0</v>
      </c>
      <c r="S35" s="461">
        <v>0</v>
      </c>
      <c r="T35" s="459">
        <f>SUM(O35:S35)</f>
        <v>0</v>
      </c>
      <c r="U35" s="460">
        <v>0</v>
      </c>
      <c r="V35" s="460">
        <v>0</v>
      </c>
      <c r="W35" s="460">
        <v>0</v>
      </c>
      <c r="X35" s="460">
        <v>0</v>
      </c>
      <c r="Y35" s="460">
        <v>0</v>
      </c>
      <c r="Z35" s="460">
        <v>0</v>
      </c>
      <c r="AA35" s="460">
        <f>SUM(AB35:AE35)</f>
        <v>0</v>
      </c>
      <c r="AB35" s="460">
        <v>0</v>
      </c>
      <c r="AC35" s="460">
        <v>0</v>
      </c>
      <c r="AD35" s="460">
        <v>0</v>
      </c>
      <c r="AE35" s="460">
        <v>0</v>
      </c>
      <c r="AF35" s="460">
        <f>SUM(AG35:AK35)</f>
        <v>0</v>
      </c>
      <c r="AG35" s="460">
        <v>0</v>
      </c>
      <c r="AH35" s="460">
        <v>0</v>
      </c>
      <c r="AI35" s="460">
        <v>0</v>
      </c>
      <c r="AJ35" s="460">
        <v>0</v>
      </c>
      <c r="AK35" s="460">
        <v>0</v>
      </c>
      <c r="AL35" s="460">
        <v>0</v>
      </c>
      <c r="AM35" s="460">
        <v>0</v>
      </c>
      <c r="AN35" s="460">
        <v>0</v>
      </c>
      <c r="AO35" s="460">
        <v>0</v>
      </c>
      <c r="AP35" s="460">
        <v>0</v>
      </c>
      <c r="AQ35" s="460">
        <v>0</v>
      </c>
      <c r="AR35" s="460">
        <v>0</v>
      </c>
      <c r="AS35" s="460">
        <v>0</v>
      </c>
      <c r="AT35" s="461">
        <v>0</v>
      </c>
      <c r="AU35" s="454"/>
      <c r="AV35" s="459">
        <v>0</v>
      </c>
      <c r="AW35" s="461">
        <v>0</v>
      </c>
      <c r="AX35" s="28"/>
      <c r="AY35" s="10"/>
    </row>
    <row r="36" spans="1:51" ht="15" customHeight="1">
      <c r="A36" s="40"/>
      <c r="B36" s="12"/>
      <c r="C36" s="12"/>
      <c r="D36" s="455"/>
      <c r="E36" s="455"/>
      <c r="F36" s="455">
        <v>4</v>
      </c>
      <c r="G36" s="41" t="s">
        <v>474</v>
      </c>
      <c r="H36" s="659"/>
      <c r="I36" s="660"/>
      <c r="J36" s="456" t="s">
        <v>1685</v>
      </c>
      <c r="K36" s="457"/>
      <c r="L36" s="103"/>
      <c r="M36" s="458"/>
      <c r="N36" s="81"/>
      <c r="O36" s="459">
        <v>0</v>
      </c>
      <c r="P36" s="460">
        <v>0</v>
      </c>
      <c r="Q36" s="460">
        <v>0</v>
      </c>
      <c r="R36" s="460">
        <v>0</v>
      </c>
      <c r="S36" s="461">
        <v>0</v>
      </c>
      <c r="T36" s="459">
        <f>SUM(O36:S36)</f>
        <v>0</v>
      </c>
      <c r="U36" s="460">
        <v>0</v>
      </c>
      <c r="V36" s="460">
        <v>0</v>
      </c>
      <c r="W36" s="460">
        <v>0</v>
      </c>
      <c r="X36" s="460">
        <v>0</v>
      </c>
      <c r="Y36" s="460">
        <v>0</v>
      </c>
      <c r="Z36" s="460">
        <v>0</v>
      </c>
      <c r="AA36" s="460">
        <f>SUM(AB36:AE36)</f>
        <v>0</v>
      </c>
      <c r="AB36" s="460">
        <v>0</v>
      </c>
      <c r="AC36" s="460">
        <v>0</v>
      </c>
      <c r="AD36" s="460">
        <v>0</v>
      </c>
      <c r="AE36" s="460">
        <v>0</v>
      </c>
      <c r="AF36" s="460">
        <f>SUM(AG36:AK36)</f>
        <v>0</v>
      </c>
      <c r="AG36" s="460">
        <v>0</v>
      </c>
      <c r="AH36" s="460">
        <v>0</v>
      </c>
      <c r="AI36" s="460">
        <v>0</v>
      </c>
      <c r="AJ36" s="460">
        <v>0</v>
      </c>
      <c r="AK36" s="460">
        <v>0</v>
      </c>
      <c r="AL36" s="460">
        <v>0</v>
      </c>
      <c r="AM36" s="460">
        <v>0</v>
      </c>
      <c r="AN36" s="460">
        <v>0</v>
      </c>
      <c r="AO36" s="460">
        <v>0</v>
      </c>
      <c r="AP36" s="460">
        <v>0</v>
      </c>
      <c r="AQ36" s="460">
        <v>0</v>
      </c>
      <c r="AR36" s="460">
        <v>0</v>
      </c>
      <c r="AS36" s="460">
        <v>0</v>
      </c>
      <c r="AT36" s="461">
        <v>0</v>
      </c>
      <c r="AU36" s="454"/>
      <c r="AV36" s="459">
        <v>0</v>
      </c>
      <c r="AW36" s="461">
        <v>0</v>
      </c>
      <c r="AX36" s="28"/>
      <c r="AY36" s="10"/>
    </row>
    <row r="37" spans="1:51" ht="15" customHeight="1">
      <c r="A37" s="40"/>
      <c r="B37" s="12"/>
      <c r="C37" s="12"/>
      <c r="D37" s="455"/>
      <c r="E37" s="455"/>
      <c r="F37" s="455">
        <v>5</v>
      </c>
      <c r="G37" s="41" t="s">
        <v>474</v>
      </c>
      <c r="H37" s="659"/>
      <c r="I37" s="660"/>
      <c r="J37" s="462" t="s">
        <v>362</v>
      </c>
      <c r="K37" s="463"/>
      <c r="L37" s="103"/>
      <c r="M37" s="464"/>
      <c r="N37" s="81"/>
      <c r="O37" s="465">
        <v>0</v>
      </c>
      <c r="P37" s="466">
        <v>0</v>
      </c>
      <c r="Q37" s="466">
        <v>0</v>
      </c>
      <c r="R37" s="466">
        <v>0</v>
      </c>
      <c r="S37" s="467">
        <v>0</v>
      </c>
      <c r="T37" s="465">
        <f>SUM(O37:S37)</f>
        <v>0</v>
      </c>
      <c r="U37" s="466">
        <v>0</v>
      </c>
      <c r="V37" s="466">
        <v>0</v>
      </c>
      <c r="W37" s="466">
        <v>0</v>
      </c>
      <c r="X37" s="466">
        <v>0</v>
      </c>
      <c r="Y37" s="466">
        <v>0</v>
      </c>
      <c r="Z37" s="466">
        <v>0</v>
      </c>
      <c r="AA37" s="466">
        <f>SUM(AB37:AE37)</f>
        <v>0</v>
      </c>
      <c r="AB37" s="466">
        <v>0</v>
      </c>
      <c r="AC37" s="466">
        <v>0</v>
      </c>
      <c r="AD37" s="466">
        <v>0</v>
      </c>
      <c r="AE37" s="466">
        <v>0</v>
      </c>
      <c r="AF37" s="466">
        <f>SUM(AG37:AK37)</f>
        <v>0</v>
      </c>
      <c r="AG37" s="466">
        <v>0</v>
      </c>
      <c r="AH37" s="466">
        <v>0</v>
      </c>
      <c r="AI37" s="466">
        <v>0</v>
      </c>
      <c r="AJ37" s="466">
        <v>0</v>
      </c>
      <c r="AK37" s="466">
        <v>0</v>
      </c>
      <c r="AL37" s="466">
        <v>0</v>
      </c>
      <c r="AM37" s="466">
        <v>0</v>
      </c>
      <c r="AN37" s="466">
        <v>0</v>
      </c>
      <c r="AO37" s="466">
        <v>0</v>
      </c>
      <c r="AP37" s="466">
        <v>0</v>
      </c>
      <c r="AQ37" s="466">
        <v>0</v>
      </c>
      <c r="AR37" s="466">
        <v>0</v>
      </c>
      <c r="AS37" s="466">
        <v>0</v>
      </c>
      <c r="AT37" s="467">
        <v>0</v>
      </c>
      <c r="AU37" s="454"/>
      <c r="AV37" s="465">
        <v>0</v>
      </c>
      <c r="AW37" s="467">
        <v>0</v>
      </c>
      <c r="AX37" s="28"/>
      <c r="AY37" s="10"/>
    </row>
    <row r="38" spans="1:51" ht="14.25">
      <c r="A38" s="13"/>
      <c r="B38" s="13"/>
      <c r="C38" s="13"/>
      <c r="D38" s="468"/>
      <c r="E38" s="468"/>
      <c r="F38" s="468"/>
      <c r="G38" s="218"/>
      <c r="H38" s="661"/>
      <c r="I38" s="662"/>
      <c r="J38" s="469" t="s">
        <v>363</v>
      </c>
      <c r="K38" s="470"/>
      <c r="L38" s="103"/>
      <c r="M38" s="471"/>
      <c r="N38" s="81"/>
      <c r="O38" s="472">
        <f t="shared" ref="O38:AW38" si="2">SUM(O33:O37)</f>
        <v>0</v>
      </c>
      <c r="P38" s="473">
        <f t="shared" si="2"/>
        <v>0</v>
      </c>
      <c r="Q38" s="473">
        <f t="shared" si="2"/>
        <v>0</v>
      </c>
      <c r="R38" s="473">
        <f t="shared" si="2"/>
        <v>0</v>
      </c>
      <c r="S38" s="474">
        <f t="shared" si="2"/>
        <v>0</v>
      </c>
      <c r="T38" s="472">
        <f t="shared" si="2"/>
        <v>0</v>
      </c>
      <c r="U38" s="473">
        <f t="shared" si="2"/>
        <v>0</v>
      </c>
      <c r="V38" s="473">
        <f t="shared" si="2"/>
        <v>0</v>
      </c>
      <c r="W38" s="473">
        <f t="shared" si="2"/>
        <v>0</v>
      </c>
      <c r="X38" s="473">
        <f t="shared" si="2"/>
        <v>0</v>
      </c>
      <c r="Y38" s="473">
        <f t="shared" si="2"/>
        <v>0</v>
      </c>
      <c r="Z38" s="473">
        <f t="shared" si="2"/>
        <v>0</v>
      </c>
      <c r="AA38" s="473">
        <f t="shared" si="2"/>
        <v>0</v>
      </c>
      <c r="AB38" s="473">
        <f t="shared" si="2"/>
        <v>0</v>
      </c>
      <c r="AC38" s="473">
        <f t="shared" si="2"/>
        <v>0</v>
      </c>
      <c r="AD38" s="473">
        <f t="shared" si="2"/>
        <v>0</v>
      </c>
      <c r="AE38" s="473">
        <f t="shared" si="2"/>
        <v>0</v>
      </c>
      <c r="AF38" s="473">
        <f t="shared" si="2"/>
        <v>0</v>
      </c>
      <c r="AG38" s="473">
        <f t="shared" si="2"/>
        <v>0</v>
      </c>
      <c r="AH38" s="473">
        <f t="shared" si="2"/>
        <v>0</v>
      </c>
      <c r="AI38" s="473">
        <f t="shared" si="2"/>
        <v>0</v>
      </c>
      <c r="AJ38" s="473">
        <f t="shared" si="2"/>
        <v>0</v>
      </c>
      <c r="AK38" s="473">
        <f t="shared" si="2"/>
        <v>0</v>
      </c>
      <c r="AL38" s="473">
        <f t="shared" si="2"/>
        <v>0</v>
      </c>
      <c r="AM38" s="473">
        <f t="shared" si="2"/>
        <v>0</v>
      </c>
      <c r="AN38" s="473">
        <f t="shared" si="2"/>
        <v>0</v>
      </c>
      <c r="AO38" s="473">
        <f t="shared" si="2"/>
        <v>0</v>
      </c>
      <c r="AP38" s="473">
        <f t="shared" si="2"/>
        <v>0</v>
      </c>
      <c r="AQ38" s="473">
        <f t="shared" si="2"/>
        <v>0</v>
      </c>
      <c r="AR38" s="474">
        <f t="shared" si="2"/>
        <v>0</v>
      </c>
      <c r="AS38" s="472">
        <f t="shared" si="2"/>
        <v>0</v>
      </c>
      <c r="AT38" s="474">
        <f t="shared" si="2"/>
        <v>0</v>
      </c>
      <c r="AU38" s="475"/>
      <c r="AV38" s="472">
        <f t="shared" si="2"/>
        <v>0</v>
      </c>
      <c r="AW38" s="474">
        <f t="shared" si="2"/>
        <v>0</v>
      </c>
      <c r="AX38" s="28"/>
      <c r="AY38" s="10"/>
    </row>
    <row r="39" spans="1:51" ht="14.25">
      <c r="A39" s="77"/>
      <c r="B39" s="77"/>
      <c r="C39" s="77"/>
      <c r="D39" s="78"/>
      <c r="E39" s="78"/>
      <c r="F39" s="78"/>
      <c r="G39" s="77"/>
      <c r="H39" s="90"/>
      <c r="I39" s="90"/>
      <c r="J39" s="132"/>
      <c r="K39" s="132"/>
      <c r="L39" s="98"/>
      <c r="M39" s="240"/>
      <c r="N39" s="10"/>
      <c r="O39" s="239"/>
      <c r="P39" s="239"/>
      <c r="Q39" s="239"/>
      <c r="R39" s="239"/>
      <c r="S39" s="239"/>
      <c r="T39" s="239"/>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98"/>
      <c r="AV39" s="186"/>
      <c r="AW39" s="186"/>
      <c r="AX39" s="10"/>
      <c r="AY39" s="10"/>
    </row>
    <row r="40" spans="1:51" ht="12.75" customHeight="1">
      <c r="A40" s="36"/>
      <c r="B40" s="37"/>
      <c r="C40" s="37"/>
      <c r="D40" s="446"/>
      <c r="E40" s="446"/>
      <c r="F40" s="446">
        <v>1</v>
      </c>
      <c r="G40" s="447" t="s">
        <v>476</v>
      </c>
      <c r="H40" s="657" t="s">
        <v>1686</v>
      </c>
      <c r="I40" s="658"/>
      <c r="J40" s="448" t="s">
        <v>1687</v>
      </c>
      <c r="K40" s="449"/>
      <c r="L40" s="103"/>
      <c r="M40" s="450"/>
      <c r="N40" s="81"/>
      <c r="O40" s="451">
        <v>0</v>
      </c>
      <c r="P40" s="452">
        <v>0</v>
      </c>
      <c r="Q40" s="452">
        <v>0</v>
      </c>
      <c r="R40" s="452">
        <v>0</v>
      </c>
      <c r="S40" s="453">
        <v>0</v>
      </c>
      <c r="T40" s="451">
        <f t="shared" ref="T40:T45" si="3">SUM(O40:S40)</f>
        <v>0</v>
      </c>
      <c r="U40" s="452">
        <v>0</v>
      </c>
      <c r="V40" s="452">
        <v>0</v>
      </c>
      <c r="W40" s="452">
        <v>0</v>
      </c>
      <c r="X40" s="452">
        <v>0</v>
      </c>
      <c r="Y40" s="452">
        <v>0</v>
      </c>
      <c r="Z40" s="452">
        <v>0</v>
      </c>
      <c r="AA40" s="452">
        <f t="shared" ref="AA40:AA45" si="4">SUM(AB40:AE40)</f>
        <v>0</v>
      </c>
      <c r="AB40" s="452">
        <v>0</v>
      </c>
      <c r="AC40" s="452">
        <v>0</v>
      </c>
      <c r="AD40" s="452">
        <v>0</v>
      </c>
      <c r="AE40" s="452">
        <v>0</v>
      </c>
      <c r="AF40" s="452">
        <f t="shared" ref="AF40:AF45" si="5">SUM(AG40:AK40)</f>
        <v>0</v>
      </c>
      <c r="AG40" s="452">
        <v>0</v>
      </c>
      <c r="AH40" s="452">
        <v>0</v>
      </c>
      <c r="AI40" s="452">
        <v>0</v>
      </c>
      <c r="AJ40" s="452">
        <v>0</v>
      </c>
      <c r="AK40" s="452">
        <v>0</v>
      </c>
      <c r="AL40" s="452">
        <v>0</v>
      </c>
      <c r="AM40" s="452">
        <v>0</v>
      </c>
      <c r="AN40" s="452">
        <v>0</v>
      </c>
      <c r="AO40" s="452">
        <v>0</v>
      </c>
      <c r="AP40" s="452">
        <v>0</v>
      </c>
      <c r="AQ40" s="452">
        <v>0</v>
      </c>
      <c r="AR40" s="452">
        <v>0</v>
      </c>
      <c r="AS40" s="452">
        <v>0</v>
      </c>
      <c r="AT40" s="453">
        <v>0</v>
      </c>
      <c r="AU40" s="103"/>
      <c r="AV40" s="451">
        <v>0</v>
      </c>
      <c r="AW40" s="453">
        <v>0</v>
      </c>
      <c r="AX40" s="28"/>
      <c r="AY40" s="10"/>
    </row>
    <row r="41" spans="1:51" ht="14.25">
      <c r="A41" s="40"/>
      <c r="B41" s="12"/>
      <c r="C41" s="12"/>
      <c r="D41" s="455"/>
      <c r="E41" s="455"/>
      <c r="F41" s="455">
        <v>2</v>
      </c>
      <c r="G41" s="41" t="s">
        <v>476</v>
      </c>
      <c r="H41" s="659"/>
      <c r="I41" s="660"/>
      <c r="J41" s="456" t="s">
        <v>1688</v>
      </c>
      <c r="K41" s="457"/>
      <c r="L41" s="103"/>
      <c r="M41" s="458"/>
      <c r="N41" s="81"/>
      <c r="O41" s="459">
        <v>0</v>
      </c>
      <c r="P41" s="460">
        <v>0</v>
      </c>
      <c r="Q41" s="460">
        <v>0</v>
      </c>
      <c r="R41" s="460">
        <v>0</v>
      </c>
      <c r="S41" s="461">
        <v>0</v>
      </c>
      <c r="T41" s="459">
        <f t="shared" si="3"/>
        <v>0</v>
      </c>
      <c r="U41" s="460">
        <v>0</v>
      </c>
      <c r="V41" s="460">
        <v>0</v>
      </c>
      <c r="W41" s="460">
        <v>0</v>
      </c>
      <c r="X41" s="460">
        <v>0</v>
      </c>
      <c r="Y41" s="460">
        <v>0</v>
      </c>
      <c r="Z41" s="460">
        <v>0</v>
      </c>
      <c r="AA41" s="460">
        <f t="shared" si="4"/>
        <v>0</v>
      </c>
      <c r="AB41" s="460">
        <v>0</v>
      </c>
      <c r="AC41" s="460">
        <v>0</v>
      </c>
      <c r="AD41" s="460">
        <v>0</v>
      </c>
      <c r="AE41" s="460">
        <v>0</v>
      </c>
      <c r="AF41" s="460">
        <f t="shared" si="5"/>
        <v>0</v>
      </c>
      <c r="AG41" s="460">
        <v>0</v>
      </c>
      <c r="AH41" s="460">
        <v>0</v>
      </c>
      <c r="AI41" s="460">
        <v>0</v>
      </c>
      <c r="AJ41" s="460">
        <v>0</v>
      </c>
      <c r="AK41" s="460">
        <v>0</v>
      </c>
      <c r="AL41" s="460">
        <v>0</v>
      </c>
      <c r="AM41" s="460">
        <v>0</v>
      </c>
      <c r="AN41" s="460">
        <v>0</v>
      </c>
      <c r="AO41" s="460">
        <v>0</v>
      </c>
      <c r="AP41" s="460">
        <v>0</v>
      </c>
      <c r="AQ41" s="460">
        <v>0</v>
      </c>
      <c r="AR41" s="460">
        <v>0</v>
      </c>
      <c r="AS41" s="460">
        <v>0</v>
      </c>
      <c r="AT41" s="461">
        <v>0</v>
      </c>
      <c r="AU41" s="103"/>
      <c r="AV41" s="459">
        <v>0</v>
      </c>
      <c r="AW41" s="461">
        <v>0</v>
      </c>
      <c r="AX41" s="28"/>
      <c r="AY41" s="10"/>
    </row>
    <row r="42" spans="1:51" ht="14.25">
      <c r="A42" s="40"/>
      <c r="B42" s="12"/>
      <c r="C42" s="12"/>
      <c r="D42" s="455"/>
      <c r="E42" s="455"/>
      <c r="F42" s="455">
        <v>3</v>
      </c>
      <c r="G42" s="41" t="s">
        <v>476</v>
      </c>
      <c r="H42" s="659"/>
      <c r="I42" s="660"/>
      <c r="J42" s="456" t="s">
        <v>1689</v>
      </c>
      <c r="K42" s="457"/>
      <c r="L42" s="103"/>
      <c r="M42" s="458"/>
      <c r="N42" s="81"/>
      <c r="O42" s="459">
        <v>0</v>
      </c>
      <c r="P42" s="460">
        <v>0</v>
      </c>
      <c r="Q42" s="460">
        <v>0</v>
      </c>
      <c r="R42" s="460">
        <v>0</v>
      </c>
      <c r="S42" s="461">
        <v>0</v>
      </c>
      <c r="T42" s="459">
        <f t="shared" si="3"/>
        <v>0</v>
      </c>
      <c r="U42" s="460">
        <v>0</v>
      </c>
      <c r="V42" s="460">
        <v>0</v>
      </c>
      <c r="W42" s="460">
        <v>0</v>
      </c>
      <c r="X42" s="460">
        <v>0</v>
      </c>
      <c r="Y42" s="460">
        <v>0</v>
      </c>
      <c r="Z42" s="460">
        <v>0</v>
      </c>
      <c r="AA42" s="460">
        <f t="shared" si="4"/>
        <v>0</v>
      </c>
      <c r="AB42" s="460">
        <v>0</v>
      </c>
      <c r="AC42" s="460">
        <v>0</v>
      </c>
      <c r="AD42" s="460">
        <v>0</v>
      </c>
      <c r="AE42" s="460">
        <v>0</v>
      </c>
      <c r="AF42" s="460">
        <f t="shared" si="5"/>
        <v>0</v>
      </c>
      <c r="AG42" s="460">
        <v>0</v>
      </c>
      <c r="AH42" s="460">
        <v>0</v>
      </c>
      <c r="AI42" s="460">
        <v>0</v>
      </c>
      <c r="AJ42" s="460">
        <v>0</v>
      </c>
      <c r="AK42" s="460">
        <v>0</v>
      </c>
      <c r="AL42" s="460">
        <v>0</v>
      </c>
      <c r="AM42" s="460">
        <v>0</v>
      </c>
      <c r="AN42" s="460">
        <v>0</v>
      </c>
      <c r="AO42" s="460">
        <v>0</v>
      </c>
      <c r="AP42" s="460">
        <v>0</v>
      </c>
      <c r="AQ42" s="460">
        <v>0</v>
      </c>
      <c r="AR42" s="460">
        <v>0</v>
      </c>
      <c r="AS42" s="460">
        <v>0</v>
      </c>
      <c r="AT42" s="461">
        <v>0</v>
      </c>
      <c r="AU42" s="103"/>
      <c r="AV42" s="459">
        <v>0</v>
      </c>
      <c r="AW42" s="461">
        <v>0</v>
      </c>
      <c r="AX42" s="28"/>
      <c r="AY42" s="10"/>
    </row>
    <row r="43" spans="1:51" ht="14.25">
      <c r="A43" s="40"/>
      <c r="B43" s="12"/>
      <c r="C43" s="12"/>
      <c r="D43" s="455"/>
      <c r="E43" s="455"/>
      <c r="F43" s="455">
        <v>4</v>
      </c>
      <c r="G43" s="41" t="s">
        <v>476</v>
      </c>
      <c r="H43" s="659"/>
      <c r="I43" s="660"/>
      <c r="J43" s="456" t="s">
        <v>1690</v>
      </c>
      <c r="K43" s="457"/>
      <c r="L43" s="103"/>
      <c r="M43" s="458"/>
      <c r="N43" s="81"/>
      <c r="O43" s="459">
        <v>0</v>
      </c>
      <c r="P43" s="460">
        <v>0</v>
      </c>
      <c r="Q43" s="460">
        <v>0</v>
      </c>
      <c r="R43" s="460">
        <v>0</v>
      </c>
      <c r="S43" s="461">
        <v>0</v>
      </c>
      <c r="T43" s="459">
        <f t="shared" si="3"/>
        <v>0</v>
      </c>
      <c r="U43" s="460">
        <v>0</v>
      </c>
      <c r="V43" s="460">
        <v>0</v>
      </c>
      <c r="W43" s="460">
        <v>0</v>
      </c>
      <c r="X43" s="460">
        <v>0</v>
      </c>
      <c r="Y43" s="460">
        <v>0</v>
      </c>
      <c r="Z43" s="460">
        <v>0</v>
      </c>
      <c r="AA43" s="460">
        <f t="shared" si="4"/>
        <v>0</v>
      </c>
      <c r="AB43" s="460">
        <v>0</v>
      </c>
      <c r="AC43" s="460">
        <v>0</v>
      </c>
      <c r="AD43" s="460">
        <v>0</v>
      </c>
      <c r="AE43" s="460">
        <v>0</v>
      </c>
      <c r="AF43" s="460">
        <f t="shared" si="5"/>
        <v>0</v>
      </c>
      <c r="AG43" s="460">
        <v>0</v>
      </c>
      <c r="AH43" s="460">
        <v>0</v>
      </c>
      <c r="AI43" s="460">
        <v>0</v>
      </c>
      <c r="AJ43" s="460">
        <v>0</v>
      </c>
      <c r="AK43" s="460">
        <v>0</v>
      </c>
      <c r="AL43" s="460">
        <v>0</v>
      </c>
      <c r="AM43" s="460">
        <v>0</v>
      </c>
      <c r="AN43" s="460">
        <v>0</v>
      </c>
      <c r="AO43" s="460">
        <v>0</v>
      </c>
      <c r="AP43" s="460">
        <v>0</v>
      </c>
      <c r="AQ43" s="460">
        <v>0</v>
      </c>
      <c r="AR43" s="460">
        <v>0</v>
      </c>
      <c r="AS43" s="460">
        <f>AS29</f>
        <v>0</v>
      </c>
      <c r="AT43" s="461">
        <v>0</v>
      </c>
      <c r="AU43" s="103"/>
      <c r="AV43" s="459">
        <v>0</v>
      </c>
      <c r="AW43" s="461">
        <v>0</v>
      </c>
      <c r="AX43" s="28"/>
      <c r="AY43" s="10"/>
    </row>
    <row r="44" spans="1:51" ht="14.25">
      <c r="A44" s="40"/>
      <c r="B44" s="12"/>
      <c r="C44" s="12"/>
      <c r="D44" s="455"/>
      <c r="E44" s="455"/>
      <c r="F44" s="455">
        <v>5</v>
      </c>
      <c r="G44" s="41" t="s">
        <v>476</v>
      </c>
      <c r="H44" s="659"/>
      <c r="I44" s="660"/>
      <c r="J44" s="456" t="s">
        <v>1691</v>
      </c>
      <c r="K44" s="457"/>
      <c r="L44" s="103"/>
      <c r="M44" s="458"/>
      <c r="N44" s="81"/>
      <c r="O44" s="459">
        <v>0</v>
      </c>
      <c r="P44" s="460">
        <v>0</v>
      </c>
      <c r="Q44" s="460">
        <v>0</v>
      </c>
      <c r="R44" s="460">
        <v>0</v>
      </c>
      <c r="S44" s="461">
        <v>0</v>
      </c>
      <c r="T44" s="459">
        <f t="shared" si="3"/>
        <v>0</v>
      </c>
      <c r="U44" s="460">
        <v>0</v>
      </c>
      <c r="V44" s="460">
        <v>0</v>
      </c>
      <c r="W44" s="460">
        <v>0</v>
      </c>
      <c r="X44" s="460">
        <v>0</v>
      </c>
      <c r="Y44" s="460">
        <v>0</v>
      </c>
      <c r="Z44" s="460">
        <v>0</v>
      </c>
      <c r="AA44" s="460">
        <f t="shared" si="4"/>
        <v>0</v>
      </c>
      <c r="AB44" s="460">
        <v>0</v>
      </c>
      <c r="AC44" s="460">
        <v>0</v>
      </c>
      <c r="AD44" s="460">
        <v>0</v>
      </c>
      <c r="AE44" s="460">
        <v>0</v>
      </c>
      <c r="AF44" s="460">
        <f t="shared" si="5"/>
        <v>0</v>
      </c>
      <c r="AG44" s="460">
        <v>0</v>
      </c>
      <c r="AH44" s="460">
        <v>0</v>
      </c>
      <c r="AI44" s="460">
        <v>0</v>
      </c>
      <c r="AJ44" s="460">
        <v>0</v>
      </c>
      <c r="AK44" s="460">
        <v>0</v>
      </c>
      <c r="AL44" s="460">
        <v>0</v>
      </c>
      <c r="AM44" s="460">
        <v>0</v>
      </c>
      <c r="AN44" s="460">
        <v>0</v>
      </c>
      <c r="AO44" s="460">
        <v>0</v>
      </c>
      <c r="AP44" s="460">
        <v>0</v>
      </c>
      <c r="AQ44" s="460">
        <v>0</v>
      </c>
      <c r="AR44" s="460">
        <v>0</v>
      </c>
      <c r="AS44" s="460">
        <v>0</v>
      </c>
      <c r="AT44" s="461">
        <v>0</v>
      </c>
      <c r="AU44" s="103"/>
      <c r="AV44" s="459">
        <v>0</v>
      </c>
      <c r="AW44" s="461">
        <v>0</v>
      </c>
      <c r="AX44" s="28"/>
      <c r="AY44" s="10"/>
    </row>
    <row r="45" spans="1:51" ht="14.25">
      <c r="A45" s="45"/>
      <c r="B45" s="46"/>
      <c r="C45" s="46"/>
      <c r="D45" s="476"/>
      <c r="E45" s="476"/>
      <c r="F45" s="476">
        <v>6</v>
      </c>
      <c r="G45" s="47" t="s">
        <v>476</v>
      </c>
      <c r="H45" s="659"/>
      <c r="I45" s="660"/>
      <c r="J45" s="462" t="s">
        <v>1692</v>
      </c>
      <c r="K45" s="463"/>
      <c r="L45" s="103"/>
      <c r="M45" s="464"/>
      <c r="N45" s="81"/>
      <c r="O45" s="465">
        <v>0</v>
      </c>
      <c r="P45" s="466">
        <v>0</v>
      </c>
      <c r="Q45" s="466">
        <v>0</v>
      </c>
      <c r="R45" s="466">
        <v>0</v>
      </c>
      <c r="S45" s="467">
        <v>0</v>
      </c>
      <c r="T45" s="465">
        <f t="shared" si="3"/>
        <v>0</v>
      </c>
      <c r="U45" s="466">
        <v>0</v>
      </c>
      <c r="V45" s="466">
        <v>0</v>
      </c>
      <c r="W45" s="466">
        <v>0</v>
      </c>
      <c r="X45" s="466">
        <v>0</v>
      </c>
      <c r="Y45" s="466">
        <v>0</v>
      </c>
      <c r="Z45" s="466">
        <v>0</v>
      </c>
      <c r="AA45" s="466">
        <f t="shared" si="4"/>
        <v>0</v>
      </c>
      <c r="AB45" s="466">
        <v>0</v>
      </c>
      <c r="AC45" s="466">
        <v>0</v>
      </c>
      <c r="AD45" s="466">
        <v>0</v>
      </c>
      <c r="AE45" s="466">
        <v>0</v>
      </c>
      <c r="AF45" s="466">
        <f t="shared" si="5"/>
        <v>0</v>
      </c>
      <c r="AG45" s="466">
        <v>0</v>
      </c>
      <c r="AH45" s="466">
        <v>0</v>
      </c>
      <c r="AI45" s="466">
        <v>0</v>
      </c>
      <c r="AJ45" s="466">
        <v>0</v>
      </c>
      <c r="AK45" s="466">
        <v>0</v>
      </c>
      <c r="AL45" s="466">
        <v>0</v>
      </c>
      <c r="AM45" s="466">
        <v>0</v>
      </c>
      <c r="AN45" s="466">
        <v>0</v>
      </c>
      <c r="AO45" s="466">
        <v>0</v>
      </c>
      <c r="AP45" s="466">
        <v>0</v>
      </c>
      <c r="AQ45" s="466">
        <v>0</v>
      </c>
      <c r="AR45" s="466">
        <v>0</v>
      </c>
      <c r="AS45" s="466">
        <v>0</v>
      </c>
      <c r="AT45" s="467">
        <v>0</v>
      </c>
      <c r="AU45" s="103"/>
      <c r="AV45" s="465">
        <v>0</v>
      </c>
      <c r="AW45" s="467">
        <v>0</v>
      </c>
      <c r="AX45" s="28"/>
      <c r="AY45" s="10"/>
    </row>
    <row r="46" spans="1:51" ht="14.25">
      <c r="A46" s="92"/>
      <c r="B46" s="92"/>
      <c r="C46" s="92"/>
      <c r="D46" s="91"/>
      <c r="E46" s="91"/>
      <c r="F46" s="91"/>
      <c r="G46" s="159"/>
      <c r="H46" s="661"/>
      <c r="I46" s="662"/>
      <c r="J46" s="469" t="s">
        <v>364</v>
      </c>
      <c r="K46" s="470"/>
      <c r="L46" s="103"/>
      <c r="M46" s="471"/>
      <c r="N46" s="81"/>
      <c r="O46" s="472">
        <f t="shared" ref="O46:AW46" si="6">SUM(O40:O45)</f>
        <v>0</v>
      </c>
      <c r="P46" s="473">
        <f t="shared" si="6"/>
        <v>0</v>
      </c>
      <c r="Q46" s="473">
        <f t="shared" si="6"/>
        <v>0</v>
      </c>
      <c r="R46" s="473">
        <f t="shared" si="6"/>
        <v>0</v>
      </c>
      <c r="S46" s="473">
        <f t="shared" si="6"/>
        <v>0</v>
      </c>
      <c r="T46" s="473">
        <f t="shared" si="6"/>
        <v>0</v>
      </c>
      <c r="U46" s="473">
        <f t="shared" si="6"/>
        <v>0</v>
      </c>
      <c r="V46" s="473">
        <f t="shared" si="6"/>
        <v>0</v>
      </c>
      <c r="W46" s="473">
        <f t="shared" si="6"/>
        <v>0</v>
      </c>
      <c r="X46" s="473">
        <f t="shared" si="6"/>
        <v>0</v>
      </c>
      <c r="Y46" s="473">
        <f t="shared" si="6"/>
        <v>0</v>
      </c>
      <c r="Z46" s="473">
        <f t="shared" si="6"/>
        <v>0</v>
      </c>
      <c r="AA46" s="473">
        <f t="shared" si="6"/>
        <v>0</v>
      </c>
      <c r="AB46" s="473">
        <f t="shared" si="6"/>
        <v>0</v>
      </c>
      <c r="AC46" s="473">
        <f t="shared" si="6"/>
        <v>0</v>
      </c>
      <c r="AD46" s="473">
        <f t="shared" si="6"/>
        <v>0</v>
      </c>
      <c r="AE46" s="473">
        <f t="shared" si="6"/>
        <v>0</v>
      </c>
      <c r="AF46" s="473">
        <f t="shared" si="6"/>
        <v>0</v>
      </c>
      <c r="AG46" s="473">
        <f t="shared" si="6"/>
        <v>0</v>
      </c>
      <c r="AH46" s="473">
        <f t="shared" si="6"/>
        <v>0</v>
      </c>
      <c r="AI46" s="473">
        <f t="shared" si="6"/>
        <v>0</v>
      </c>
      <c r="AJ46" s="473">
        <f t="shared" si="6"/>
        <v>0</v>
      </c>
      <c r="AK46" s="473">
        <f t="shared" si="6"/>
        <v>0</v>
      </c>
      <c r="AL46" s="473">
        <f t="shared" si="6"/>
        <v>0</v>
      </c>
      <c r="AM46" s="473">
        <f t="shared" si="6"/>
        <v>0</v>
      </c>
      <c r="AN46" s="473">
        <f t="shared" si="6"/>
        <v>0</v>
      </c>
      <c r="AO46" s="473">
        <f t="shared" si="6"/>
        <v>0</v>
      </c>
      <c r="AP46" s="473">
        <f t="shared" si="6"/>
        <v>0</v>
      </c>
      <c r="AQ46" s="473">
        <f t="shared" si="6"/>
        <v>0</v>
      </c>
      <c r="AR46" s="474">
        <f t="shared" si="6"/>
        <v>0</v>
      </c>
      <c r="AS46" s="472">
        <f t="shared" si="6"/>
        <v>0</v>
      </c>
      <c r="AT46" s="474">
        <f t="shared" si="6"/>
        <v>0</v>
      </c>
      <c r="AU46" s="475"/>
      <c r="AV46" s="472">
        <f t="shared" si="6"/>
        <v>0</v>
      </c>
      <c r="AW46" s="474">
        <f t="shared" si="6"/>
        <v>0</v>
      </c>
      <c r="AX46" s="28"/>
      <c r="AY46" s="10"/>
    </row>
    <row r="47" spans="1:51" ht="14.25">
      <c r="A47" s="77"/>
      <c r="B47" s="77"/>
      <c r="C47" s="77"/>
      <c r="D47" s="78"/>
      <c r="E47" s="78"/>
      <c r="F47" s="78"/>
      <c r="G47" s="77"/>
      <c r="H47" s="90"/>
      <c r="I47" s="90"/>
      <c r="J47" s="132"/>
      <c r="K47" s="132"/>
      <c r="L47" s="98"/>
      <c r="M47" s="240"/>
      <c r="N47" s="10"/>
      <c r="O47" s="239"/>
      <c r="P47" s="239"/>
      <c r="Q47" s="239"/>
      <c r="R47" s="239"/>
      <c r="S47" s="239"/>
      <c r="T47" s="239"/>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98"/>
      <c r="AV47" s="186"/>
      <c r="AW47" s="186"/>
      <c r="AX47" s="10"/>
      <c r="AY47" s="10"/>
    </row>
    <row r="48" spans="1:51" ht="14.25">
      <c r="A48" s="36"/>
      <c r="B48" s="37"/>
      <c r="C48" s="37" t="s">
        <v>1693</v>
      </c>
      <c r="D48" s="446"/>
      <c r="E48" s="446"/>
      <c r="F48" s="446" t="s">
        <v>1694</v>
      </c>
      <c r="G48" s="447" t="s">
        <v>638</v>
      </c>
      <c r="H48" s="645" t="s">
        <v>1695</v>
      </c>
      <c r="I48" s="477"/>
      <c r="J48" s="448" t="s">
        <v>336</v>
      </c>
      <c r="K48" s="449"/>
      <c r="L48" s="103"/>
      <c r="M48" s="450"/>
      <c r="N48" s="81"/>
      <c r="O48" s="478"/>
      <c r="P48" s="479"/>
      <c r="Q48" s="479"/>
      <c r="R48" s="479"/>
      <c r="S48" s="480"/>
      <c r="T48" s="481"/>
      <c r="U48" s="481"/>
      <c r="V48" s="481"/>
      <c r="W48" s="481"/>
      <c r="X48" s="481"/>
      <c r="Y48" s="481"/>
      <c r="Z48" s="481"/>
      <c r="AA48" s="481"/>
      <c r="AB48" s="481"/>
      <c r="AC48" s="481"/>
      <c r="AD48" s="481"/>
      <c r="AE48" s="481"/>
      <c r="AF48" s="481"/>
      <c r="AG48" s="481"/>
      <c r="AH48" s="481"/>
      <c r="AI48" s="481"/>
      <c r="AJ48" s="481"/>
      <c r="AK48" s="481"/>
      <c r="AL48" s="481"/>
      <c r="AM48" s="481"/>
      <c r="AN48" s="481"/>
      <c r="AO48" s="481"/>
      <c r="AP48" s="481"/>
      <c r="AQ48" s="481"/>
      <c r="AR48" s="481"/>
      <c r="AS48" s="481"/>
      <c r="AT48" s="481"/>
      <c r="AU48" s="103"/>
      <c r="AV48" s="481"/>
      <c r="AW48" s="481"/>
      <c r="AX48" s="28"/>
      <c r="AY48" s="10"/>
    </row>
    <row r="49" spans="1:51" ht="14.25">
      <c r="A49" s="40"/>
      <c r="B49" s="12"/>
      <c r="C49" s="12" t="s">
        <v>1696</v>
      </c>
      <c r="D49" s="455" t="s">
        <v>1697</v>
      </c>
      <c r="E49" s="455"/>
      <c r="F49" s="455" t="s">
        <v>1694</v>
      </c>
      <c r="G49" s="41" t="s">
        <v>638</v>
      </c>
      <c r="H49" s="646"/>
      <c r="I49" s="482"/>
      <c r="J49" s="456" t="s">
        <v>337</v>
      </c>
      <c r="K49" s="457"/>
      <c r="L49" s="103"/>
      <c r="M49" s="458"/>
      <c r="N49" s="81"/>
      <c r="O49" s="483"/>
      <c r="P49" s="484"/>
      <c r="Q49" s="484"/>
      <c r="R49" s="484"/>
      <c r="S49" s="485"/>
      <c r="T49" s="486"/>
      <c r="U49" s="487"/>
      <c r="V49" s="487"/>
      <c r="W49" s="487"/>
      <c r="X49" s="487"/>
      <c r="Y49" s="487"/>
      <c r="Z49" s="487"/>
      <c r="AA49" s="487"/>
      <c r="AB49" s="487"/>
      <c r="AC49" s="487"/>
      <c r="AD49" s="487"/>
      <c r="AE49" s="487"/>
      <c r="AF49" s="487"/>
      <c r="AG49" s="487"/>
      <c r="AH49" s="487"/>
      <c r="AI49" s="487"/>
      <c r="AJ49" s="487"/>
      <c r="AK49" s="487"/>
      <c r="AL49" s="487"/>
      <c r="AM49" s="487"/>
      <c r="AN49" s="487"/>
      <c r="AO49" s="487"/>
      <c r="AP49" s="487"/>
      <c r="AQ49" s="487"/>
      <c r="AR49" s="487"/>
      <c r="AS49" s="487"/>
      <c r="AT49" s="488"/>
      <c r="AU49" s="103"/>
      <c r="AV49" s="486"/>
      <c r="AW49" s="488"/>
      <c r="AX49" s="28"/>
      <c r="AY49" s="10"/>
    </row>
    <row r="50" spans="1:51" ht="14.25">
      <c r="A50" s="40"/>
      <c r="B50" s="12"/>
      <c r="C50" s="12" t="s">
        <v>1693</v>
      </c>
      <c r="D50" s="455"/>
      <c r="E50" s="455"/>
      <c r="F50" s="455" t="s">
        <v>1694</v>
      </c>
      <c r="G50" s="41" t="s">
        <v>1698</v>
      </c>
      <c r="H50" s="646"/>
      <c r="I50" s="482"/>
      <c r="J50" s="456" t="s">
        <v>338</v>
      </c>
      <c r="K50" s="457"/>
      <c r="L50" s="103"/>
      <c r="M50" s="458"/>
      <c r="N50" s="81"/>
      <c r="O50" s="483"/>
      <c r="P50" s="484"/>
      <c r="Q50" s="484"/>
      <c r="R50" s="484"/>
      <c r="S50" s="485"/>
      <c r="T50" s="486"/>
      <c r="U50" s="487"/>
      <c r="V50" s="487"/>
      <c r="W50" s="487"/>
      <c r="X50" s="487"/>
      <c r="Y50" s="487"/>
      <c r="Z50" s="487"/>
      <c r="AA50" s="487"/>
      <c r="AB50" s="487"/>
      <c r="AC50" s="487"/>
      <c r="AD50" s="487"/>
      <c r="AE50" s="487"/>
      <c r="AF50" s="487"/>
      <c r="AG50" s="487"/>
      <c r="AH50" s="487"/>
      <c r="AI50" s="487"/>
      <c r="AJ50" s="487"/>
      <c r="AK50" s="487"/>
      <c r="AL50" s="487"/>
      <c r="AM50" s="487"/>
      <c r="AN50" s="487"/>
      <c r="AO50" s="487"/>
      <c r="AP50" s="487"/>
      <c r="AQ50" s="487"/>
      <c r="AR50" s="487"/>
      <c r="AS50" s="487"/>
      <c r="AT50" s="488"/>
      <c r="AU50" s="103"/>
      <c r="AV50" s="486"/>
      <c r="AW50" s="488"/>
      <c r="AX50" s="28"/>
      <c r="AY50" s="10"/>
    </row>
    <row r="51" spans="1:51" ht="14.25">
      <c r="A51" s="40"/>
      <c r="B51" s="12"/>
      <c r="C51" s="12" t="s">
        <v>1693</v>
      </c>
      <c r="D51" s="455"/>
      <c r="E51" s="455"/>
      <c r="F51" s="455" t="s">
        <v>1694</v>
      </c>
      <c r="G51" s="41" t="s">
        <v>650</v>
      </c>
      <c r="H51" s="646"/>
      <c r="I51" s="482"/>
      <c r="J51" s="456" t="s">
        <v>1699</v>
      </c>
      <c r="K51" s="457"/>
      <c r="L51" s="103"/>
      <c r="M51" s="458"/>
      <c r="N51" s="81"/>
      <c r="O51" s="483"/>
      <c r="P51" s="484"/>
      <c r="Q51" s="484"/>
      <c r="R51" s="484"/>
      <c r="S51" s="485"/>
      <c r="T51" s="486"/>
      <c r="U51" s="487"/>
      <c r="V51" s="487"/>
      <c r="W51" s="487"/>
      <c r="X51" s="487"/>
      <c r="Y51" s="487"/>
      <c r="Z51" s="487"/>
      <c r="AA51" s="487"/>
      <c r="AB51" s="487"/>
      <c r="AC51" s="487"/>
      <c r="AD51" s="487"/>
      <c r="AE51" s="487"/>
      <c r="AF51" s="487"/>
      <c r="AG51" s="487"/>
      <c r="AH51" s="487"/>
      <c r="AI51" s="487"/>
      <c r="AJ51" s="487"/>
      <c r="AK51" s="487"/>
      <c r="AL51" s="487"/>
      <c r="AM51" s="487"/>
      <c r="AN51" s="487"/>
      <c r="AO51" s="487"/>
      <c r="AP51" s="487"/>
      <c r="AQ51" s="487"/>
      <c r="AR51" s="487"/>
      <c r="AS51" s="487"/>
      <c r="AT51" s="488"/>
      <c r="AU51" s="103"/>
      <c r="AV51" s="486"/>
      <c r="AW51" s="488"/>
      <c r="AX51" s="28"/>
      <c r="AY51" s="10"/>
    </row>
    <row r="52" spans="1:51" ht="14.25">
      <c r="A52" s="40"/>
      <c r="B52" s="12"/>
      <c r="C52" s="12" t="s">
        <v>1693</v>
      </c>
      <c r="D52" s="455"/>
      <c r="E52" s="455"/>
      <c r="F52" s="455" t="s">
        <v>1694</v>
      </c>
      <c r="G52" s="41" t="s">
        <v>1700</v>
      </c>
      <c r="H52" s="646"/>
      <c r="I52" s="482"/>
      <c r="J52" s="456" t="s">
        <v>339</v>
      </c>
      <c r="K52" s="457"/>
      <c r="L52" s="103"/>
      <c r="M52" s="458"/>
      <c r="N52" s="81"/>
      <c r="O52" s="483"/>
      <c r="P52" s="484"/>
      <c r="Q52" s="484"/>
      <c r="R52" s="484"/>
      <c r="S52" s="485"/>
      <c r="T52" s="486"/>
      <c r="U52" s="487"/>
      <c r="V52" s="487"/>
      <c r="W52" s="487"/>
      <c r="X52" s="487"/>
      <c r="Y52" s="487"/>
      <c r="Z52" s="487"/>
      <c r="AA52" s="487"/>
      <c r="AB52" s="487"/>
      <c r="AC52" s="487"/>
      <c r="AD52" s="487"/>
      <c r="AE52" s="487"/>
      <c r="AF52" s="487"/>
      <c r="AG52" s="487"/>
      <c r="AH52" s="487"/>
      <c r="AI52" s="487"/>
      <c r="AJ52" s="487"/>
      <c r="AK52" s="487"/>
      <c r="AL52" s="487"/>
      <c r="AM52" s="487"/>
      <c r="AN52" s="487"/>
      <c r="AO52" s="487"/>
      <c r="AP52" s="487"/>
      <c r="AQ52" s="487"/>
      <c r="AR52" s="487"/>
      <c r="AS52" s="487"/>
      <c r="AT52" s="488"/>
      <c r="AU52" s="103"/>
      <c r="AV52" s="486"/>
      <c r="AW52" s="488"/>
      <c r="AX52" s="28"/>
      <c r="AY52" s="10"/>
    </row>
    <row r="53" spans="1:51" ht="14.25">
      <c r="A53" s="40"/>
      <c r="B53" s="12"/>
      <c r="C53" s="12" t="s">
        <v>1693</v>
      </c>
      <c r="D53" s="455"/>
      <c r="E53" s="455"/>
      <c r="F53" s="455" t="s">
        <v>1694</v>
      </c>
      <c r="G53" s="41" t="s">
        <v>1701</v>
      </c>
      <c r="H53" s="646"/>
      <c r="I53" s="482"/>
      <c r="J53" s="456" t="s">
        <v>340</v>
      </c>
      <c r="K53" s="457"/>
      <c r="L53" s="103"/>
      <c r="M53" s="458"/>
      <c r="N53" s="81"/>
      <c r="O53" s="483"/>
      <c r="P53" s="484"/>
      <c r="Q53" s="484"/>
      <c r="R53" s="484"/>
      <c r="S53" s="485"/>
      <c r="T53" s="486"/>
      <c r="U53" s="487"/>
      <c r="V53" s="487"/>
      <c r="W53" s="487"/>
      <c r="X53" s="487"/>
      <c r="Y53" s="487"/>
      <c r="Z53" s="487"/>
      <c r="AA53" s="487"/>
      <c r="AB53" s="487"/>
      <c r="AC53" s="487"/>
      <c r="AD53" s="487"/>
      <c r="AE53" s="487"/>
      <c r="AF53" s="487"/>
      <c r="AG53" s="487"/>
      <c r="AH53" s="487"/>
      <c r="AI53" s="487"/>
      <c r="AJ53" s="487"/>
      <c r="AK53" s="487"/>
      <c r="AL53" s="487"/>
      <c r="AM53" s="487"/>
      <c r="AN53" s="487"/>
      <c r="AO53" s="487"/>
      <c r="AP53" s="487"/>
      <c r="AQ53" s="487"/>
      <c r="AR53" s="487"/>
      <c r="AS53" s="487"/>
      <c r="AT53" s="488"/>
      <c r="AU53" s="103"/>
      <c r="AV53" s="486"/>
      <c r="AW53" s="488"/>
      <c r="AX53" s="28"/>
      <c r="AY53" s="10"/>
    </row>
    <row r="54" spans="1:51" ht="14.25">
      <c r="A54" s="40"/>
      <c r="B54" s="12"/>
      <c r="C54" s="12" t="s">
        <v>1693</v>
      </c>
      <c r="D54" s="455"/>
      <c r="E54" s="455"/>
      <c r="F54" s="455" t="s">
        <v>1694</v>
      </c>
      <c r="G54" s="41" t="s">
        <v>1702</v>
      </c>
      <c r="H54" s="646"/>
      <c r="I54" s="482"/>
      <c r="J54" s="456" t="s">
        <v>341</v>
      </c>
      <c r="K54" s="457"/>
      <c r="L54" s="103"/>
      <c r="M54" s="458"/>
      <c r="N54" s="81"/>
      <c r="O54" s="483"/>
      <c r="P54" s="484"/>
      <c r="Q54" s="484"/>
      <c r="R54" s="484"/>
      <c r="S54" s="485"/>
      <c r="T54" s="486"/>
      <c r="U54" s="487"/>
      <c r="V54" s="487"/>
      <c r="W54" s="487"/>
      <c r="X54" s="487"/>
      <c r="Y54" s="487"/>
      <c r="Z54" s="487"/>
      <c r="AA54" s="487"/>
      <c r="AB54" s="487"/>
      <c r="AC54" s="487"/>
      <c r="AD54" s="487"/>
      <c r="AE54" s="487"/>
      <c r="AF54" s="487"/>
      <c r="AG54" s="487"/>
      <c r="AH54" s="487"/>
      <c r="AI54" s="487"/>
      <c r="AJ54" s="487"/>
      <c r="AK54" s="487"/>
      <c r="AL54" s="487"/>
      <c r="AM54" s="487"/>
      <c r="AN54" s="487"/>
      <c r="AO54" s="487"/>
      <c r="AP54" s="487"/>
      <c r="AQ54" s="487"/>
      <c r="AR54" s="487"/>
      <c r="AS54" s="487"/>
      <c r="AT54" s="488"/>
      <c r="AU54" s="103"/>
      <c r="AV54" s="486"/>
      <c r="AW54" s="488"/>
      <c r="AX54" s="28"/>
      <c r="AY54" s="10"/>
    </row>
    <row r="55" spans="1:51" ht="14.25">
      <c r="A55" s="40"/>
      <c r="B55" s="12"/>
      <c r="C55" s="12" t="s">
        <v>1693</v>
      </c>
      <c r="D55" s="455"/>
      <c r="E55" s="455"/>
      <c r="F55" s="455" t="s">
        <v>1694</v>
      </c>
      <c r="G55" s="41" t="s">
        <v>1703</v>
      </c>
      <c r="H55" s="646"/>
      <c r="I55" s="482"/>
      <c r="J55" s="456" t="s">
        <v>342</v>
      </c>
      <c r="K55" s="457"/>
      <c r="L55" s="103"/>
      <c r="M55" s="458"/>
      <c r="N55" s="81"/>
      <c r="O55" s="483"/>
      <c r="P55" s="484"/>
      <c r="Q55" s="484"/>
      <c r="R55" s="484"/>
      <c r="S55" s="485"/>
      <c r="T55" s="486"/>
      <c r="U55" s="487"/>
      <c r="V55" s="487"/>
      <c r="W55" s="487"/>
      <c r="X55" s="487"/>
      <c r="Y55" s="487"/>
      <c r="Z55" s="487"/>
      <c r="AA55" s="487"/>
      <c r="AB55" s="487"/>
      <c r="AC55" s="487"/>
      <c r="AD55" s="487"/>
      <c r="AE55" s="487"/>
      <c r="AF55" s="487"/>
      <c r="AG55" s="487"/>
      <c r="AH55" s="487"/>
      <c r="AI55" s="487"/>
      <c r="AJ55" s="487"/>
      <c r="AK55" s="487"/>
      <c r="AL55" s="487"/>
      <c r="AM55" s="487"/>
      <c r="AN55" s="487"/>
      <c r="AO55" s="487"/>
      <c r="AP55" s="487"/>
      <c r="AQ55" s="487"/>
      <c r="AR55" s="487"/>
      <c r="AS55" s="487"/>
      <c r="AT55" s="488"/>
      <c r="AU55" s="103"/>
      <c r="AV55" s="486"/>
      <c r="AW55" s="488"/>
      <c r="AX55" s="28"/>
      <c r="AY55" s="10"/>
    </row>
    <row r="56" spans="1:51" ht="14.25">
      <c r="A56" s="40"/>
      <c r="B56" s="12"/>
      <c r="C56" s="12" t="s">
        <v>1693</v>
      </c>
      <c r="D56" s="455"/>
      <c r="E56" s="455"/>
      <c r="F56" s="455" t="s">
        <v>1694</v>
      </c>
      <c r="G56" s="41" t="s">
        <v>1704</v>
      </c>
      <c r="H56" s="646"/>
      <c r="I56" s="482"/>
      <c r="J56" s="456" t="s">
        <v>343</v>
      </c>
      <c r="K56" s="457"/>
      <c r="L56" s="103"/>
      <c r="M56" s="458"/>
      <c r="N56" s="81"/>
      <c r="O56" s="483"/>
      <c r="P56" s="484"/>
      <c r="Q56" s="484"/>
      <c r="R56" s="484"/>
      <c r="S56" s="485"/>
      <c r="T56" s="486"/>
      <c r="U56" s="487"/>
      <c r="V56" s="487"/>
      <c r="W56" s="487"/>
      <c r="X56" s="487"/>
      <c r="Y56" s="487"/>
      <c r="Z56" s="487"/>
      <c r="AA56" s="487"/>
      <c r="AB56" s="487"/>
      <c r="AC56" s="487"/>
      <c r="AD56" s="487"/>
      <c r="AE56" s="487"/>
      <c r="AF56" s="487"/>
      <c r="AG56" s="487"/>
      <c r="AH56" s="487"/>
      <c r="AI56" s="487"/>
      <c r="AJ56" s="487"/>
      <c r="AK56" s="487"/>
      <c r="AL56" s="487"/>
      <c r="AM56" s="487"/>
      <c r="AN56" s="487"/>
      <c r="AO56" s="487"/>
      <c r="AP56" s="487"/>
      <c r="AQ56" s="487"/>
      <c r="AR56" s="487"/>
      <c r="AS56" s="487"/>
      <c r="AT56" s="488"/>
      <c r="AU56" s="103"/>
      <c r="AV56" s="486"/>
      <c r="AW56" s="488"/>
      <c r="AX56" s="28"/>
      <c r="AY56" s="10"/>
    </row>
    <row r="57" spans="1:51" ht="14.25">
      <c r="A57" s="40"/>
      <c r="B57" s="12"/>
      <c r="C57" s="12" t="s">
        <v>1693</v>
      </c>
      <c r="D57" s="455"/>
      <c r="E57" s="455"/>
      <c r="F57" s="455" t="s">
        <v>1694</v>
      </c>
      <c r="G57" s="41" t="s">
        <v>1705</v>
      </c>
      <c r="H57" s="646"/>
      <c r="I57" s="482"/>
      <c r="J57" s="456" t="s">
        <v>344</v>
      </c>
      <c r="K57" s="457"/>
      <c r="L57" s="103"/>
      <c r="M57" s="458"/>
      <c r="N57" s="81"/>
      <c r="O57" s="483"/>
      <c r="P57" s="484"/>
      <c r="Q57" s="484"/>
      <c r="R57" s="484"/>
      <c r="S57" s="485"/>
      <c r="T57" s="486"/>
      <c r="U57" s="487"/>
      <c r="V57" s="487"/>
      <c r="W57" s="487"/>
      <c r="X57" s="487"/>
      <c r="Y57" s="487"/>
      <c r="Z57" s="487"/>
      <c r="AA57" s="487"/>
      <c r="AB57" s="487"/>
      <c r="AC57" s="487"/>
      <c r="AD57" s="487"/>
      <c r="AE57" s="487"/>
      <c r="AF57" s="487"/>
      <c r="AG57" s="487"/>
      <c r="AH57" s="487"/>
      <c r="AI57" s="487"/>
      <c r="AJ57" s="487"/>
      <c r="AK57" s="487"/>
      <c r="AL57" s="487"/>
      <c r="AM57" s="487"/>
      <c r="AN57" s="487"/>
      <c r="AO57" s="487"/>
      <c r="AP57" s="487"/>
      <c r="AQ57" s="487"/>
      <c r="AR57" s="487"/>
      <c r="AS57" s="487"/>
      <c r="AT57" s="488"/>
      <c r="AU57" s="103"/>
      <c r="AV57" s="486"/>
      <c r="AW57" s="488"/>
      <c r="AX57" s="28"/>
      <c r="AY57" s="10"/>
    </row>
    <row r="58" spans="1:51" ht="14.25">
      <c r="A58" s="40"/>
      <c r="B58" s="12"/>
      <c r="C58" s="12" t="s">
        <v>1693</v>
      </c>
      <c r="D58" s="455"/>
      <c r="E58" s="455"/>
      <c r="F58" s="455" t="s">
        <v>1694</v>
      </c>
      <c r="G58" s="41" t="s">
        <v>1706</v>
      </c>
      <c r="H58" s="646"/>
      <c r="I58" s="482"/>
      <c r="J58" s="456" t="s">
        <v>1707</v>
      </c>
      <c r="K58" s="457"/>
      <c r="L58" s="103"/>
      <c r="M58" s="458"/>
      <c r="N58" s="81"/>
      <c r="O58" s="483"/>
      <c r="P58" s="484"/>
      <c r="Q58" s="484"/>
      <c r="R58" s="484"/>
      <c r="S58" s="485"/>
      <c r="T58" s="486"/>
      <c r="U58" s="487"/>
      <c r="V58" s="487"/>
      <c r="W58" s="487"/>
      <c r="X58" s="487"/>
      <c r="Y58" s="487"/>
      <c r="Z58" s="487"/>
      <c r="AA58" s="487"/>
      <c r="AB58" s="487"/>
      <c r="AC58" s="487"/>
      <c r="AD58" s="487"/>
      <c r="AE58" s="487"/>
      <c r="AF58" s="487"/>
      <c r="AG58" s="487"/>
      <c r="AH58" s="487"/>
      <c r="AI58" s="487"/>
      <c r="AJ58" s="487"/>
      <c r="AK58" s="487"/>
      <c r="AL58" s="487"/>
      <c r="AM58" s="487"/>
      <c r="AN58" s="487"/>
      <c r="AO58" s="487"/>
      <c r="AP58" s="487"/>
      <c r="AQ58" s="487"/>
      <c r="AR58" s="487"/>
      <c r="AS58" s="487"/>
      <c r="AT58" s="488"/>
      <c r="AU58" s="103"/>
      <c r="AV58" s="486"/>
      <c r="AW58" s="488"/>
      <c r="AX58" s="28"/>
      <c r="AY58" s="10"/>
    </row>
    <row r="59" spans="1:51" ht="14.25">
      <c r="A59" s="40"/>
      <c r="B59" s="12"/>
      <c r="C59" s="12" t="s">
        <v>1693</v>
      </c>
      <c r="D59" s="455"/>
      <c r="E59" s="455"/>
      <c r="F59" s="455" t="s">
        <v>1694</v>
      </c>
      <c r="G59" s="41" t="s">
        <v>1708</v>
      </c>
      <c r="H59" s="646"/>
      <c r="I59" s="482"/>
      <c r="J59" s="456" t="s">
        <v>1709</v>
      </c>
      <c r="K59" s="457"/>
      <c r="L59" s="103"/>
      <c r="M59" s="458"/>
      <c r="N59" s="81"/>
      <c r="O59" s="483"/>
      <c r="P59" s="484"/>
      <c r="Q59" s="484"/>
      <c r="R59" s="484"/>
      <c r="S59" s="485"/>
      <c r="T59" s="486"/>
      <c r="U59" s="487"/>
      <c r="V59" s="487"/>
      <c r="W59" s="487"/>
      <c r="X59" s="487"/>
      <c r="Y59" s="487"/>
      <c r="Z59" s="487"/>
      <c r="AA59" s="487"/>
      <c r="AB59" s="487"/>
      <c r="AC59" s="487"/>
      <c r="AD59" s="487"/>
      <c r="AE59" s="487"/>
      <c r="AF59" s="487"/>
      <c r="AG59" s="487"/>
      <c r="AH59" s="487"/>
      <c r="AI59" s="487"/>
      <c r="AJ59" s="487"/>
      <c r="AK59" s="487"/>
      <c r="AL59" s="487"/>
      <c r="AM59" s="487"/>
      <c r="AN59" s="487"/>
      <c r="AO59" s="487"/>
      <c r="AP59" s="487"/>
      <c r="AQ59" s="487"/>
      <c r="AR59" s="487"/>
      <c r="AS59" s="487"/>
      <c r="AT59" s="488"/>
      <c r="AU59" s="103"/>
      <c r="AV59" s="486"/>
      <c r="AW59" s="488"/>
      <c r="AX59" s="28"/>
      <c r="AY59" s="10"/>
    </row>
    <row r="60" spans="1:51" ht="14.25">
      <c r="A60" s="40"/>
      <c r="B60" s="12"/>
      <c r="C60" s="12" t="s">
        <v>1693</v>
      </c>
      <c r="D60" s="455"/>
      <c r="E60" s="455"/>
      <c r="F60" s="455" t="s">
        <v>1694</v>
      </c>
      <c r="G60" s="41" t="s">
        <v>1710</v>
      </c>
      <c r="H60" s="646"/>
      <c r="I60" s="482"/>
      <c r="J60" s="456" t="s">
        <v>345</v>
      </c>
      <c r="K60" s="457"/>
      <c r="L60" s="103"/>
      <c r="M60" s="458"/>
      <c r="N60" s="81"/>
      <c r="O60" s="483"/>
      <c r="P60" s="484"/>
      <c r="Q60" s="484"/>
      <c r="R60" s="484"/>
      <c r="S60" s="485"/>
      <c r="T60" s="486"/>
      <c r="U60" s="487"/>
      <c r="V60" s="487"/>
      <c r="W60" s="487"/>
      <c r="X60" s="487"/>
      <c r="Y60" s="487"/>
      <c r="Z60" s="487"/>
      <c r="AA60" s="487"/>
      <c r="AB60" s="487"/>
      <c r="AC60" s="487"/>
      <c r="AD60" s="487"/>
      <c r="AE60" s="487"/>
      <c r="AF60" s="487"/>
      <c r="AG60" s="487"/>
      <c r="AH60" s="487"/>
      <c r="AI60" s="487"/>
      <c r="AJ60" s="487"/>
      <c r="AK60" s="487"/>
      <c r="AL60" s="487"/>
      <c r="AM60" s="487"/>
      <c r="AN60" s="487"/>
      <c r="AO60" s="487"/>
      <c r="AP60" s="487"/>
      <c r="AQ60" s="487"/>
      <c r="AR60" s="487"/>
      <c r="AS60" s="487"/>
      <c r="AT60" s="488"/>
      <c r="AU60" s="103"/>
      <c r="AV60" s="486"/>
      <c r="AW60" s="488"/>
      <c r="AX60" s="28"/>
      <c r="AY60" s="10"/>
    </row>
    <row r="61" spans="1:51" ht="14.25">
      <c r="A61" s="45"/>
      <c r="B61" s="46"/>
      <c r="C61" s="46" t="s">
        <v>1693</v>
      </c>
      <c r="D61" s="476"/>
      <c r="E61" s="476"/>
      <c r="F61" s="476" t="s">
        <v>1694</v>
      </c>
      <c r="G61" s="47" t="s">
        <v>1711</v>
      </c>
      <c r="H61" s="646"/>
      <c r="I61" s="482"/>
      <c r="J61" s="462" t="s">
        <v>346</v>
      </c>
      <c r="K61" s="463"/>
      <c r="L61" s="103"/>
      <c r="M61" s="458"/>
      <c r="N61" s="81"/>
      <c r="O61" s="483"/>
      <c r="P61" s="484"/>
      <c r="Q61" s="484"/>
      <c r="R61" s="484"/>
      <c r="S61" s="485"/>
      <c r="T61" s="486"/>
      <c r="U61" s="487"/>
      <c r="V61" s="487"/>
      <c r="W61" s="487"/>
      <c r="X61" s="487"/>
      <c r="Y61" s="487"/>
      <c r="Z61" s="487"/>
      <c r="AA61" s="487"/>
      <c r="AB61" s="487"/>
      <c r="AC61" s="487"/>
      <c r="AD61" s="487"/>
      <c r="AE61" s="487"/>
      <c r="AF61" s="487"/>
      <c r="AG61" s="487"/>
      <c r="AH61" s="487"/>
      <c r="AI61" s="487"/>
      <c r="AJ61" s="487"/>
      <c r="AK61" s="487"/>
      <c r="AL61" s="487"/>
      <c r="AM61" s="487"/>
      <c r="AN61" s="487"/>
      <c r="AO61" s="487"/>
      <c r="AP61" s="487"/>
      <c r="AQ61" s="487"/>
      <c r="AR61" s="487"/>
      <c r="AS61" s="487"/>
      <c r="AT61" s="488"/>
      <c r="AU61" s="103"/>
      <c r="AV61" s="486"/>
      <c r="AW61" s="488"/>
      <c r="AX61" s="28"/>
      <c r="AY61" s="10"/>
    </row>
    <row r="62" spans="1:51" ht="14.25">
      <c r="A62" s="36"/>
      <c r="B62" s="37"/>
      <c r="C62" s="37" t="s">
        <v>1693</v>
      </c>
      <c r="D62" s="446"/>
      <c r="E62" s="446"/>
      <c r="F62" s="446" t="s">
        <v>1694</v>
      </c>
      <c r="G62" s="447" t="s">
        <v>638</v>
      </c>
      <c r="H62" s="646"/>
      <c r="I62" s="482"/>
      <c r="J62" s="448" t="s">
        <v>336</v>
      </c>
      <c r="K62" s="449"/>
      <c r="L62" s="103"/>
      <c r="M62" s="458"/>
      <c r="N62" s="81"/>
      <c r="O62" s="483"/>
      <c r="P62" s="484"/>
      <c r="Q62" s="484"/>
      <c r="R62" s="484"/>
      <c r="S62" s="485"/>
      <c r="T62" s="486"/>
      <c r="U62" s="487"/>
      <c r="V62" s="487"/>
      <c r="W62" s="487"/>
      <c r="X62" s="487"/>
      <c r="Y62" s="487"/>
      <c r="Z62" s="487"/>
      <c r="AA62" s="487"/>
      <c r="AB62" s="487"/>
      <c r="AC62" s="487"/>
      <c r="AD62" s="487"/>
      <c r="AE62" s="487"/>
      <c r="AF62" s="487"/>
      <c r="AG62" s="487"/>
      <c r="AH62" s="487"/>
      <c r="AI62" s="487"/>
      <c r="AJ62" s="487"/>
      <c r="AK62" s="487"/>
      <c r="AL62" s="487"/>
      <c r="AM62" s="487"/>
      <c r="AN62" s="487"/>
      <c r="AO62" s="487"/>
      <c r="AP62" s="487"/>
      <c r="AQ62" s="487"/>
      <c r="AR62" s="487"/>
      <c r="AS62" s="487"/>
      <c r="AT62" s="488"/>
      <c r="AU62" s="103"/>
      <c r="AV62" s="486"/>
      <c r="AW62" s="488"/>
      <c r="AX62" s="28"/>
      <c r="AY62" s="10"/>
    </row>
    <row r="63" spans="1:51" ht="14.25">
      <c r="A63" s="40"/>
      <c r="B63" s="12"/>
      <c r="C63" s="12" t="s">
        <v>1696</v>
      </c>
      <c r="D63" s="455" t="s">
        <v>1697</v>
      </c>
      <c r="E63" s="455"/>
      <c r="F63" s="455" t="s">
        <v>1694</v>
      </c>
      <c r="G63" s="41" t="s">
        <v>638</v>
      </c>
      <c r="H63" s="646"/>
      <c r="I63" s="482"/>
      <c r="J63" s="456" t="s">
        <v>337</v>
      </c>
      <c r="K63" s="457"/>
      <c r="L63" s="103"/>
      <c r="M63" s="458"/>
      <c r="N63" s="81"/>
      <c r="O63" s="483"/>
      <c r="P63" s="484"/>
      <c r="Q63" s="484"/>
      <c r="R63" s="484"/>
      <c r="S63" s="485"/>
      <c r="T63" s="486"/>
      <c r="U63" s="487"/>
      <c r="V63" s="487"/>
      <c r="W63" s="487"/>
      <c r="X63" s="487"/>
      <c r="Y63" s="487"/>
      <c r="Z63" s="487"/>
      <c r="AA63" s="487"/>
      <c r="AB63" s="487"/>
      <c r="AC63" s="487"/>
      <c r="AD63" s="487"/>
      <c r="AE63" s="487"/>
      <c r="AF63" s="487"/>
      <c r="AG63" s="487"/>
      <c r="AH63" s="487"/>
      <c r="AI63" s="487"/>
      <c r="AJ63" s="487"/>
      <c r="AK63" s="487"/>
      <c r="AL63" s="487"/>
      <c r="AM63" s="487"/>
      <c r="AN63" s="487"/>
      <c r="AO63" s="487"/>
      <c r="AP63" s="487"/>
      <c r="AQ63" s="487"/>
      <c r="AR63" s="487"/>
      <c r="AS63" s="487"/>
      <c r="AT63" s="488"/>
      <c r="AU63" s="103"/>
      <c r="AV63" s="486"/>
      <c r="AW63" s="488"/>
      <c r="AX63" s="28"/>
      <c r="AY63" s="10"/>
    </row>
    <row r="64" spans="1:51" ht="14.25">
      <c r="A64" s="40"/>
      <c r="B64" s="12"/>
      <c r="C64" s="12" t="s">
        <v>1693</v>
      </c>
      <c r="D64" s="455"/>
      <c r="E64" s="455"/>
      <c r="F64" s="455" t="s">
        <v>1694</v>
      </c>
      <c r="G64" s="41" t="s">
        <v>1698</v>
      </c>
      <c r="H64" s="646"/>
      <c r="I64" s="482"/>
      <c r="J64" s="456" t="s">
        <v>338</v>
      </c>
      <c r="K64" s="457"/>
      <c r="L64" s="103"/>
      <c r="M64" s="458"/>
      <c r="N64" s="81"/>
      <c r="O64" s="483"/>
      <c r="P64" s="484"/>
      <c r="Q64" s="484"/>
      <c r="R64" s="484"/>
      <c r="S64" s="485"/>
      <c r="T64" s="486"/>
      <c r="U64" s="487"/>
      <c r="V64" s="487"/>
      <c r="W64" s="487"/>
      <c r="X64" s="487"/>
      <c r="Y64" s="487"/>
      <c r="Z64" s="487"/>
      <c r="AA64" s="487"/>
      <c r="AB64" s="487"/>
      <c r="AC64" s="487"/>
      <c r="AD64" s="487"/>
      <c r="AE64" s="487"/>
      <c r="AF64" s="487"/>
      <c r="AG64" s="487"/>
      <c r="AH64" s="487"/>
      <c r="AI64" s="487"/>
      <c r="AJ64" s="487"/>
      <c r="AK64" s="487"/>
      <c r="AL64" s="487"/>
      <c r="AM64" s="487"/>
      <c r="AN64" s="487"/>
      <c r="AO64" s="487"/>
      <c r="AP64" s="487"/>
      <c r="AQ64" s="487"/>
      <c r="AR64" s="487"/>
      <c r="AS64" s="487"/>
      <c r="AT64" s="488"/>
      <c r="AU64" s="103"/>
      <c r="AV64" s="486"/>
      <c r="AW64" s="488"/>
      <c r="AX64" s="28"/>
      <c r="AY64" s="10"/>
    </row>
    <row r="65" spans="1:51" ht="14.25">
      <c r="A65" s="40"/>
      <c r="B65" s="12"/>
      <c r="C65" s="12" t="s">
        <v>1693</v>
      </c>
      <c r="D65" s="455"/>
      <c r="E65" s="455"/>
      <c r="F65" s="455" t="s">
        <v>1694</v>
      </c>
      <c r="G65" s="41" t="s">
        <v>650</v>
      </c>
      <c r="H65" s="646"/>
      <c r="I65" s="482"/>
      <c r="J65" s="456" t="s">
        <v>1699</v>
      </c>
      <c r="K65" s="457"/>
      <c r="L65" s="103"/>
      <c r="M65" s="458"/>
      <c r="N65" s="81"/>
      <c r="O65" s="483"/>
      <c r="P65" s="484"/>
      <c r="Q65" s="484"/>
      <c r="R65" s="484"/>
      <c r="S65" s="485"/>
      <c r="T65" s="486"/>
      <c r="U65" s="487"/>
      <c r="V65" s="487"/>
      <c r="W65" s="487"/>
      <c r="X65" s="487"/>
      <c r="Y65" s="487"/>
      <c r="Z65" s="487"/>
      <c r="AA65" s="487"/>
      <c r="AB65" s="487"/>
      <c r="AC65" s="487"/>
      <c r="AD65" s="487"/>
      <c r="AE65" s="487"/>
      <c r="AF65" s="487"/>
      <c r="AG65" s="487"/>
      <c r="AH65" s="487"/>
      <c r="AI65" s="487"/>
      <c r="AJ65" s="487"/>
      <c r="AK65" s="487"/>
      <c r="AL65" s="487"/>
      <c r="AM65" s="487"/>
      <c r="AN65" s="487"/>
      <c r="AO65" s="487"/>
      <c r="AP65" s="487"/>
      <c r="AQ65" s="487"/>
      <c r="AR65" s="487"/>
      <c r="AS65" s="487"/>
      <c r="AT65" s="488"/>
      <c r="AU65" s="103"/>
      <c r="AV65" s="486"/>
      <c r="AW65" s="488"/>
      <c r="AX65" s="28"/>
      <c r="AY65" s="10"/>
    </row>
    <row r="66" spans="1:51" ht="14.25">
      <c r="A66" s="40"/>
      <c r="B66" s="12"/>
      <c r="C66" s="12" t="s">
        <v>1693</v>
      </c>
      <c r="D66" s="455"/>
      <c r="E66" s="455"/>
      <c r="F66" s="455" t="s">
        <v>1694</v>
      </c>
      <c r="G66" s="41" t="s">
        <v>1700</v>
      </c>
      <c r="H66" s="646"/>
      <c r="I66" s="482"/>
      <c r="J66" s="456" t="s">
        <v>339</v>
      </c>
      <c r="K66" s="457"/>
      <c r="L66" s="103"/>
      <c r="M66" s="458"/>
      <c r="N66" s="81"/>
      <c r="O66" s="483"/>
      <c r="P66" s="484"/>
      <c r="Q66" s="484"/>
      <c r="R66" s="484"/>
      <c r="S66" s="485"/>
      <c r="T66" s="486"/>
      <c r="U66" s="487"/>
      <c r="V66" s="487"/>
      <c r="W66" s="487"/>
      <c r="X66" s="487"/>
      <c r="Y66" s="487"/>
      <c r="Z66" s="487"/>
      <c r="AA66" s="487"/>
      <c r="AB66" s="487"/>
      <c r="AC66" s="487"/>
      <c r="AD66" s="487"/>
      <c r="AE66" s="487"/>
      <c r="AF66" s="487"/>
      <c r="AG66" s="487"/>
      <c r="AH66" s="487"/>
      <c r="AI66" s="487"/>
      <c r="AJ66" s="487"/>
      <c r="AK66" s="487"/>
      <c r="AL66" s="487"/>
      <c r="AM66" s="487"/>
      <c r="AN66" s="487"/>
      <c r="AO66" s="487"/>
      <c r="AP66" s="487"/>
      <c r="AQ66" s="487"/>
      <c r="AR66" s="487"/>
      <c r="AS66" s="487"/>
      <c r="AT66" s="488"/>
      <c r="AU66" s="103"/>
      <c r="AV66" s="486"/>
      <c r="AW66" s="488"/>
      <c r="AX66" s="28"/>
      <c r="AY66" s="10"/>
    </row>
    <row r="67" spans="1:51" ht="14.25">
      <c r="A67" s="40"/>
      <c r="B67" s="12"/>
      <c r="C67" s="12" t="s">
        <v>1693</v>
      </c>
      <c r="D67" s="455"/>
      <c r="E67" s="455"/>
      <c r="F67" s="455" t="s">
        <v>1694</v>
      </c>
      <c r="G67" s="41" t="s">
        <v>1701</v>
      </c>
      <c r="H67" s="646"/>
      <c r="I67" s="482"/>
      <c r="J67" s="456" t="s">
        <v>340</v>
      </c>
      <c r="K67" s="457"/>
      <c r="L67" s="103"/>
      <c r="M67" s="458"/>
      <c r="N67" s="81"/>
      <c r="O67" s="483"/>
      <c r="P67" s="484"/>
      <c r="Q67" s="484"/>
      <c r="R67" s="484"/>
      <c r="S67" s="485"/>
      <c r="T67" s="486"/>
      <c r="U67" s="487"/>
      <c r="V67" s="487"/>
      <c r="W67" s="487"/>
      <c r="X67" s="487"/>
      <c r="Y67" s="487"/>
      <c r="Z67" s="487"/>
      <c r="AA67" s="487"/>
      <c r="AB67" s="487"/>
      <c r="AC67" s="487"/>
      <c r="AD67" s="487"/>
      <c r="AE67" s="487"/>
      <c r="AF67" s="487"/>
      <c r="AG67" s="487"/>
      <c r="AH67" s="487"/>
      <c r="AI67" s="487"/>
      <c r="AJ67" s="487"/>
      <c r="AK67" s="487"/>
      <c r="AL67" s="487"/>
      <c r="AM67" s="487"/>
      <c r="AN67" s="487"/>
      <c r="AO67" s="487"/>
      <c r="AP67" s="487"/>
      <c r="AQ67" s="487"/>
      <c r="AR67" s="487"/>
      <c r="AS67" s="487"/>
      <c r="AT67" s="488"/>
      <c r="AU67" s="103"/>
      <c r="AV67" s="486"/>
      <c r="AW67" s="488"/>
      <c r="AX67" s="28"/>
      <c r="AY67" s="10"/>
    </row>
    <row r="68" spans="1:51" ht="14.25">
      <c r="A68" s="40"/>
      <c r="B68" s="12"/>
      <c r="C68" s="12" t="s">
        <v>1693</v>
      </c>
      <c r="D68" s="455"/>
      <c r="E68" s="455"/>
      <c r="F68" s="455" t="s">
        <v>1694</v>
      </c>
      <c r="G68" s="41" t="s">
        <v>1702</v>
      </c>
      <c r="H68" s="646"/>
      <c r="I68" s="482"/>
      <c r="J68" s="456" t="s">
        <v>341</v>
      </c>
      <c r="K68" s="457"/>
      <c r="L68" s="103"/>
      <c r="M68" s="458"/>
      <c r="N68" s="81"/>
      <c r="O68" s="483"/>
      <c r="P68" s="484"/>
      <c r="Q68" s="484"/>
      <c r="R68" s="484"/>
      <c r="S68" s="485"/>
      <c r="T68" s="486"/>
      <c r="U68" s="487"/>
      <c r="V68" s="487"/>
      <c r="W68" s="487"/>
      <c r="X68" s="487"/>
      <c r="Y68" s="487"/>
      <c r="Z68" s="487"/>
      <c r="AA68" s="487"/>
      <c r="AB68" s="487"/>
      <c r="AC68" s="487"/>
      <c r="AD68" s="487"/>
      <c r="AE68" s="487"/>
      <c r="AF68" s="487"/>
      <c r="AG68" s="487"/>
      <c r="AH68" s="487"/>
      <c r="AI68" s="487"/>
      <c r="AJ68" s="487"/>
      <c r="AK68" s="487"/>
      <c r="AL68" s="487"/>
      <c r="AM68" s="487"/>
      <c r="AN68" s="487"/>
      <c r="AO68" s="487"/>
      <c r="AP68" s="487"/>
      <c r="AQ68" s="487"/>
      <c r="AR68" s="487"/>
      <c r="AS68" s="487"/>
      <c r="AT68" s="488"/>
      <c r="AU68" s="103"/>
      <c r="AV68" s="486"/>
      <c r="AW68" s="488"/>
      <c r="AX68" s="28"/>
      <c r="AY68" s="10"/>
    </row>
    <row r="69" spans="1:51" ht="14.25">
      <c r="A69" s="40"/>
      <c r="B69" s="12"/>
      <c r="C69" s="12" t="s">
        <v>1693</v>
      </c>
      <c r="D69" s="455"/>
      <c r="E69" s="455"/>
      <c r="F69" s="455" t="s">
        <v>1694</v>
      </c>
      <c r="G69" s="41" t="s">
        <v>1703</v>
      </c>
      <c r="H69" s="646"/>
      <c r="I69" s="482"/>
      <c r="J69" s="456" t="s">
        <v>342</v>
      </c>
      <c r="K69" s="457"/>
      <c r="L69" s="103"/>
      <c r="M69" s="458"/>
      <c r="N69" s="81"/>
      <c r="O69" s="483"/>
      <c r="P69" s="484"/>
      <c r="Q69" s="484"/>
      <c r="R69" s="484"/>
      <c r="S69" s="485"/>
      <c r="T69" s="486"/>
      <c r="U69" s="487"/>
      <c r="V69" s="487"/>
      <c r="W69" s="487"/>
      <c r="X69" s="487"/>
      <c r="Y69" s="487"/>
      <c r="Z69" s="487"/>
      <c r="AA69" s="487"/>
      <c r="AB69" s="487"/>
      <c r="AC69" s="487"/>
      <c r="AD69" s="487"/>
      <c r="AE69" s="487"/>
      <c r="AF69" s="487"/>
      <c r="AG69" s="487"/>
      <c r="AH69" s="487"/>
      <c r="AI69" s="487"/>
      <c r="AJ69" s="487"/>
      <c r="AK69" s="487"/>
      <c r="AL69" s="487"/>
      <c r="AM69" s="487"/>
      <c r="AN69" s="487"/>
      <c r="AO69" s="487"/>
      <c r="AP69" s="487"/>
      <c r="AQ69" s="487"/>
      <c r="AR69" s="487"/>
      <c r="AS69" s="487"/>
      <c r="AT69" s="488"/>
      <c r="AU69" s="103"/>
      <c r="AV69" s="486"/>
      <c r="AW69" s="488"/>
      <c r="AX69" s="28"/>
      <c r="AY69" s="10"/>
    </row>
    <row r="70" spans="1:51" ht="14.25">
      <c r="A70" s="40"/>
      <c r="B70" s="12"/>
      <c r="C70" s="12" t="s">
        <v>1693</v>
      </c>
      <c r="D70" s="455"/>
      <c r="E70" s="455"/>
      <c r="F70" s="455" t="s">
        <v>1694</v>
      </c>
      <c r="G70" s="41" t="s">
        <v>1704</v>
      </c>
      <c r="H70" s="646"/>
      <c r="I70" s="482"/>
      <c r="J70" s="456" t="s">
        <v>343</v>
      </c>
      <c r="K70" s="457"/>
      <c r="L70" s="103"/>
      <c r="M70" s="458"/>
      <c r="N70" s="81"/>
      <c r="O70" s="483"/>
      <c r="P70" s="484"/>
      <c r="Q70" s="484"/>
      <c r="R70" s="484"/>
      <c r="S70" s="485"/>
      <c r="T70" s="486"/>
      <c r="U70" s="487"/>
      <c r="V70" s="487"/>
      <c r="W70" s="487"/>
      <c r="X70" s="487"/>
      <c r="Y70" s="487"/>
      <c r="Z70" s="487"/>
      <c r="AA70" s="487"/>
      <c r="AB70" s="487"/>
      <c r="AC70" s="487"/>
      <c r="AD70" s="487"/>
      <c r="AE70" s="487"/>
      <c r="AF70" s="487"/>
      <c r="AG70" s="487"/>
      <c r="AH70" s="487"/>
      <c r="AI70" s="487"/>
      <c r="AJ70" s="487"/>
      <c r="AK70" s="487"/>
      <c r="AL70" s="487"/>
      <c r="AM70" s="487"/>
      <c r="AN70" s="487"/>
      <c r="AO70" s="487"/>
      <c r="AP70" s="487"/>
      <c r="AQ70" s="487"/>
      <c r="AR70" s="487"/>
      <c r="AS70" s="487"/>
      <c r="AT70" s="488"/>
      <c r="AU70" s="103"/>
      <c r="AV70" s="486"/>
      <c r="AW70" s="488"/>
      <c r="AX70" s="28"/>
      <c r="AY70" s="10"/>
    </row>
    <row r="71" spans="1:51" ht="14.25">
      <c r="A71" s="40"/>
      <c r="B71" s="12"/>
      <c r="C71" s="12" t="s">
        <v>1693</v>
      </c>
      <c r="D71" s="455"/>
      <c r="E71" s="455"/>
      <c r="F71" s="455" t="s">
        <v>1694</v>
      </c>
      <c r="G71" s="41" t="s">
        <v>1705</v>
      </c>
      <c r="H71" s="646"/>
      <c r="I71" s="482"/>
      <c r="J71" s="456" t="s">
        <v>344</v>
      </c>
      <c r="K71" s="457"/>
      <c r="L71" s="103"/>
      <c r="M71" s="458"/>
      <c r="N71" s="81"/>
      <c r="O71" s="483"/>
      <c r="P71" s="484"/>
      <c r="Q71" s="484"/>
      <c r="R71" s="484"/>
      <c r="S71" s="485"/>
      <c r="T71" s="486"/>
      <c r="U71" s="487"/>
      <c r="V71" s="487"/>
      <c r="W71" s="487"/>
      <c r="X71" s="487"/>
      <c r="Y71" s="487"/>
      <c r="Z71" s="487"/>
      <c r="AA71" s="487"/>
      <c r="AB71" s="487"/>
      <c r="AC71" s="487"/>
      <c r="AD71" s="487"/>
      <c r="AE71" s="487"/>
      <c r="AF71" s="487"/>
      <c r="AG71" s="487"/>
      <c r="AH71" s="487"/>
      <c r="AI71" s="487"/>
      <c r="AJ71" s="487"/>
      <c r="AK71" s="487"/>
      <c r="AL71" s="487"/>
      <c r="AM71" s="487"/>
      <c r="AN71" s="487"/>
      <c r="AO71" s="487"/>
      <c r="AP71" s="487"/>
      <c r="AQ71" s="487"/>
      <c r="AR71" s="487"/>
      <c r="AS71" s="487"/>
      <c r="AT71" s="488"/>
      <c r="AU71" s="103"/>
      <c r="AV71" s="486"/>
      <c r="AW71" s="488"/>
      <c r="AX71" s="28"/>
      <c r="AY71" s="10"/>
    </row>
    <row r="72" spans="1:51" ht="14.25">
      <c r="A72" s="40"/>
      <c r="B72" s="12"/>
      <c r="C72" s="12" t="s">
        <v>1693</v>
      </c>
      <c r="D72" s="455"/>
      <c r="E72" s="455"/>
      <c r="F72" s="455" t="s">
        <v>1694</v>
      </c>
      <c r="G72" s="41" t="s">
        <v>1706</v>
      </c>
      <c r="H72" s="646"/>
      <c r="I72" s="482"/>
      <c r="J72" s="456" t="s">
        <v>1707</v>
      </c>
      <c r="K72" s="457"/>
      <c r="L72" s="103"/>
      <c r="M72" s="458"/>
      <c r="N72" s="81"/>
      <c r="O72" s="483"/>
      <c r="P72" s="484"/>
      <c r="Q72" s="484"/>
      <c r="R72" s="484"/>
      <c r="S72" s="485"/>
      <c r="T72" s="486"/>
      <c r="U72" s="487"/>
      <c r="V72" s="487"/>
      <c r="W72" s="487"/>
      <c r="X72" s="487"/>
      <c r="Y72" s="487"/>
      <c r="Z72" s="487"/>
      <c r="AA72" s="487"/>
      <c r="AB72" s="487"/>
      <c r="AC72" s="487"/>
      <c r="AD72" s="487"/>
      <c r="AE72" s="487"/>
      <c r="AF72" s="487"/>
      <c r="AG72" s="487"/>
      <c r="AH72" s="487"/>
      <c r="AI72" s="487"/>
      <c r="AJ72" s="487"/>
      <c r="AK72" s="487"/>
      <c r="AL72" s="487"/>
      <c r="AM72" s="487"/>
      <c r="AN72" s="487"/>
      <c r="AO72" s="487"/>
      <c r="AP72" s="487"/>
      <c r="AQ72" s="487"/>
      <c r="AR72" s="487"/>
      <c r="AS72" s="487"/>
      <c r="AT72" s="488"/>
      <c r="AU72" s="103"/>
      <c r="AV72" s="486"/>
      <c r="AW72" s="488"/>
      <c r="AX72" s="28"/>
      <c r="AY72" s="10"/>
    </row>
    <row r="73" spans="1:51" ht="14.25">
      <c r="A73" s="40"/>
      <c r="B73" s="12"/>
      <c r="C73" s="12" t="s">
        <v>1693</v>
      </c>
      <c r="D73" s="455"/>
      <c r="E73" s="455"/>
      <c r="F73" s="455" t="s">
        <v>1694</v>
      </c>
      <c r="G73" s="41" t="s">
        <v>1708</v>
      </c>
      <c r="H73" s="646"/>
      <c r="I73" s="482"/>
      <c r="J73" s="456" t="s">
        <v>1709</v>
      </c>
      <c r="K73" s="457"/>
      <c r="L73" s="103"/>
      <c r="M73" s="458"/>
      <c r="N73" s="81"/>
      <c r="O73" s="483"/>
      <c r="P73" s="484"/>
      <c r="Q73" s="484"/>
      <c r="R73" s="484"/>
      <c r="S73" s="485"/>
      <c r="T73" s="486"/>
      <c r="U73" s="487"/>
      <c r="V73" s="487"/>
      <c r="W73" s="487"/>
      <c r="X73" s="487"/>
      <c r="Y73" s="487"/>
      <c r="Z73" s="487"/>
      <c r="AA73" s="487"/>
      <c r="AB73" s="487"/>
      <c r="AC73" s="487"/>
      <c r="AD73" s="487"/>
      <c r="AE73" s="487"/>
      <c r="AF73" s="487"/>
      <c r="AG73" s="487"/>
      <c r="AH73" s="487"/>
      <c r="AI73" s="487"/>
      <c r="AJ73" s="487"/>
      <c r="AK73" s="487"/>
      <c r="AL73" s="487"/>
      <c r="AM73" s="487"/>
      <c r="AN73" s="487"/>
      <c r="AO73" s="487"/>
      <c r="AP73" s="487"/>
      <c r="AQ73" s="487"/>
      <c r="AR73" s="487"/>
      <c r="AS73" s="487"/>
      <c r="AT73" s="488"/>
      <c r="AU73" s="103"/>
      <c r="AV73" s="486"/>
      <c r="AW73" s="488"/>
      <c r="AX73" s="28"/>
      <c r="AY73" s="10"/>
    </row>
    <row r="74" spans="1:51" ht="14.25">
      <c r="A74" s="40"/>
      <c r="B74" s="12"/>
      <c r="C74" s="12" t="s">
        <v>1693</v>
      </c>
      <c r="D74" s="455"/>
      <c r="E74" s="455"/>
      <c r="F74" s="455" t="s">
        <v>1694</v>
      </c>
      <c r="G74" s="41" t="s">
        <v>1710</v>
      </c>
      <c r="H74" s="646"/>
      <c r="I74" s="482"/>
      <c r="J74" s="456" t="s">
        <v>345</v>
      </c>
      <c r="K74" s="457"/>
      <c r="L74" s="103"/>
      <c r="M74" s="458"/>
      <c r="N74" s="81"/>
      <c r="O74" s="483"/>
      <c r="P74" s="484"/>
      <c r="Q74" s="484"/>
      <c r="R74" s="484"/>
      <c r="S74" s="485"/>
      <c r="T74" s="486"/>
      <c r="U74" s="487"/>
      <c r="V74" s="487"/>
      <c r="W74" s="487"/>
      <c r="X74" s="487"/>
      <c r="Y74" s="487"/>
      <c r="Z74" s="487"/>
      <c r="AA74" s="487"/>
      <c r="AB74" s="487"/>
      <c r="AC74" s="487"/>
      <c r="AD74" s="487"/>
      <c r="AE74" s="487"/>
      <c r="AF74" s="487"/>
      <c r="AG74" s="487"/>
      <c r="AH74" s="487"/>
      <c r="AI74" s="487"/>
      <c r="AJ74" s="487"/>
      <c r="AK74" s="487"/>
      <c r="AL74" s="487"/>
      <c r="AM74" s="487"/>
      <c r="AN74" s="487"/>
      <c r="AO74" s="487"/>
      <c r="AP74" s="487"/>
      <c r="AQ74" s="487"/>
      <c r="AR74" s="487"/>
      <c r="AS74" s="487"/>
      <c r="AT74" s="488"/>
      <c r="AU74" s="103"/>
      <c r="AV74" s="486"/>
      <c r="AW74" s="488"/>
      <c r="AX74" s="28"/>
      <c r="AY74" s="10"/>
    </row>
    <row r="75" spans="1:51" ht="14.25">
      <c r="A75" s="40"/>
      <c r="B75" s="12"/>
      <c r="C75" s="12" t="s">
        <v>1693</v>
      </c>
      <c r="D75" s="455"/>
      <c r="E75" s="455"/>
      <c r="F75" s="455" t="s">
        <v>1694</v>
      </c>
      <c r="G75" s="41" t="s">
        <v>1711</v>
      </c>
      <c r="H75" s="646"/>
      <c r="I75" s="489"/>
      <c r="J75" s="462" t="s">
        <v>346</v>
      </c>
      <c r="K75" s="463"/>
      <c r="L75" s="103"/>
      <c r="M75" s="458"/>
      <c r="N75" s="81"/>
      <c r="O75" s="483"/>
      <c r="P75" s="484"/>
      <c r="Q75" s="484"/>
      <c r="R75" s="484"/>
      <c r="S75" s="485"/>
      <c r="T75" s="486"/>
      <c r="U75" s="487"/>
      <c r="V75" s="487"/>
      <c r="W75" s="487"/>
      <c r="X75" s="487"/>
      <c r="Y75" s="487"/>
      <c r="Z75" s="487"/>
      <c r="AA75" s="487"/>
      <c r="AB75" s="487"/>
      <c r="AC75" s="487"/>
      <c r="AD75" s="487"/>
      <c r="AE75" s="487"/>
      <c r="AF75" s="487"/>
      <c r="AG75" s="487"/>
      <c r="AH75" s="487"/>
      <c r="AI75" s="487"/>
      <c r="AJ75" s="487"/>
      <c r="AK75" s="487"/>
      <c r="AL75" s="487"/>
      <c r="AM75" s="487"/>
      <c r="AN75" s="487"/>
      <c r="AO75" s="487"/>
      <c r="AP75" s="487"/>
      <c r="AQ75" s="487"/>
      <c r="AR75" s="487"/>
      <c r="AS75" s="487"/>
      <c r="AT75" s="488"/>
      <c r="AU75" s="103"/>
      <c r="AV75" s="486"/>
      <c r="AW75" s="488"/>
      <c r="AX75" s="28"/>
      <c r="AY75" s="10"/>
    </row>
    <row r="76" spans="1:51" ht="14.25">
      <c r="A76" s="40"/>
      <c r="B76" s="12"/>
      <c r="C76" s="12"/>
      <c r="D76" s="455"/>
      <c r="E76" s="455"/>
      <c r="F76" s="455"/>
      <c r="G76" s="41"/>
      <c r="H76" s="646"/>
      <c r="I76" s="490"/>
      <c r="J76" s="469" t="s">
        <v>1712</v>
      </c>
      <c r="K76" s="470"/>
      <c r="L76" s="103"/>
      <c r="M76" s="458"/>
      <c r="N76" s="81"/>
      <c r="O76" s="483"/>
      <c r="P76" s="484"/>
      <c r="Q76" s="484"/>
      <c r="R76" s="484"/>
      <c r="S76" s="485"/>
      <c r="T76" s="55"/>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491"/>
      <c r="AU76" s="103"/>
      <c r="AV76" s="55"/>
      <c r="AW76" s="491"/>
      <c r="AX76" s="28"/>
      <c r="AY76" s="10"/>
    </row>
    <row r="77" spans="1:51" ht="14.25">
      <c r="A77" s="40"/>
      <c r="B77" s="12"/>
      <c r="C77" s="12" t="s">
        <v>1693</v>
      </c>
      <c r="D77" s="455"/>
      <c r="E77" s="455"/>
      <c r="F77" s="455" t="s">
        <v>1694</v>
      </c>
      <c r="G77" s="41"/>
      <c r="H77" s="646"/>
      <c r="I77" s="477"/>
      <c r="J77" s="492"/>
      <c r="K77" s="493"/>
      <c r="L77" s="103"/>
      <c r="M77" s="458"/>
      <c r="N77" s="81"/>
      <c r="O77" s="483"/>
      <c r="P77" s="484"/>
      <c r="Q77" s="484"/>
      <c r="R77" s="484"/>
      <c r="S77" s="485"/>
      <c r="T77" s="486"/>
      <c r="U77" s="487"/>
      <c r="V77" s="487"/>
      <c r="W77" s="487"/>
      <c r="X77" s="487"/>
      <c r="Y77" s="487"/>
      <c r="Z77" s="487"/>
      <c r="AA77" s="487"/>
      <c r="AB77" s="487"/>
      <c r="AC77" s="487"/>
      <c r="AD77" s="487"/>
      <c r="AE77" s="487"/>
      <c r="AF77" s="487"/>
      <c r="AG77" s="487"/>
      <c r="AH77" s="487"/>
      <c r="AI77" s="487"/>
      <c r="AJ77" s="487"/>
      <c r="AK77" s="487"/>
      <c r="AL77" s="487"/>
      <c r="AM77" s="487"/>
      <c r="AN77" s="487"/>
      <c r="AO77" s="487"/>
      <c r="AP77" s="487"/>
      <c r="AQ77" s="487"/>
      <c r="AR77" s="487"/>
      <c r="AS77" s="487"/>
      <c r="AT77" s="488"/>
      <c r="AU77" s="103"/>
      <c r="AV77" s="486"/>
      <c r="AW77" s="488"/>
      <c r="AX77" s="28"/>
      <c r="AY77" s="10"/>
    </row>
    <row r="78" spans="1:51" ht="14.25">
      <c r="A78" s="40"/>
      <c r="B78" s="12"/>
      <c r="C78" s="12" t="s">
        <v>1693</v>
      </c>
      <c r="D78" s="455"/>
      <c r="E78" s="455"/>
      <c r="F78" s="455" t="s">
        <v>1694</v>
      </c>
      <c r="G78" s="41"/>
      <c r="H78" s="646"/>
      <c r="I78" s="482"/>
      <c r="J78" s="494"/>
      <c r="K78" s="495"/>
      <c r="L78" s="103"/>
      <c r="M78" s="458"/>
      <c r="N78" s="81"/>
      <c r="O78" s="483"/>
      <c r="P78" s="484"/>
      <c r="Q78" s="484"/>
      <c r="R78" s="484"/>
      <c r="S78" s="485"/>
      <c r="T78" s="486"/>
      <c r="U78" s="487"/>
      <c r="V78" s="487"/>
      <c r="W78" s="487"/>
      <c r="X78" s="487"/>
      <c r="Y78" s="487"/>
      <c r="Z78" s="487"/>
      <c r="AA78" s="487"/>
      <c r="AB78" s="487"/>
      <c r="AC78" s="487"/>
      <c r="AD78" s="487"/>
      <c r="AE78" s="487"/>
      <c r="AF78" s="487"/>
      <c r="AG78" s="487"/>
      <c r="AH78" s="487"/>
      <c r="AI78" s="487"/>
      <c r="AJ78" s="487"/>
      <c r="AK78" s="487"/>
      <c r="AL78" s="487"/>
      <c r="AM78" s="487"/>
      <c r="AN78" s="487"/>
      <c r="AO78" s="487"/>
      <c r="AP78" s="487"/>
      <c r="AQ78" s="487"/>
      <c r="AR78" s="487"/>
      <c r="AS78" s="487"/>
      <c r="AT78" s="488"/>
      <c r="AU78" s="103"/>
      <c r="AV78" s="486"/>
      <c r="AW78" s="488"/>
      <c r="AX78" s="28"/>
      <c r="AY78" s="10"/>
    </row>
    <row r="79" spans="1:51" ht="14.25">
      <c r="A79" s="40"/>
      <c r="B79" s="12"/>
      <c r="C79" s="12" t="s">
        <v>1693</v>
      </c>
      <c r="D79" s="455"/>
      <c r="E79" s="455"/>
      <c r="F79" s="455" t="s">
        <v>1694</v>
      </c>
      <c r="G79" s="41"/>
      <c r="H79" s="646"/>
      <c r="I79" s="482"/>
      <c r="J79" s="494"/>
      <c r="K79" s="495"/>
      <c r="L79" s="103"/>
      <c r="M79" s="458"/>
      <c r="N79" s="81"/>
      <c r="O79" s="483"/>
      <c r="P79" s="484"/>
      <c r="Q79" s="484"/>
      <c r="R79" s="484"/>
      <c r="S79" s="485"/>
      <c r="T79" s="486"/>
      <c r="U79" s="487"/>
      <c r="V79" s="487"/>
      <c r="W79" s="487"/>
      <c r="X79" s="487"/>
      <c r="Y79" s="487"/>
      <c r="Z79" s="487"/>
      <c r="AA79" s="487"/>
      <c r="AB79" s="487"/>
      <c r="AC79" s="487"/>
      <c r="AD79" s="487"/>
      <c r="AE79" s="487"/>
      <c r="AF79" s="487"/>
      <c r="AG79" s="487"/>
      <c r="AH79" s="487"/>
      <c r="AI79" s="487"/>
      <c r="AJ79" s="487"/>
      <c r="AK79" s="487"/>
      <c r="AL79" s="487"/>
      <c r="AM79" s="487"/>
      <c r="AN79" s="487"/>
      <c r="AO79" s="487"/>
      <c r="AP79" s="487"/>
      <c r="AQ79" s="487"/>
      <c r="AR79" s="487"/>
      <c r="AS79" s="487"/>
      <c r="AT79" s="488"/>
      <c r="AU79" s="103"/>
      <c r="AV79" s="486"/>
      <c r="AW79" s="488"/>
      <c r="AX79" s="28"/>
      <c r="AY79" s="10"/>
    </row>
    <row r="80" spans="1:51" ht="14.25">
      <c r="A80" s="40"/>
      <c r="B80" s="12"/>
      <c r="C80" s="12" t="s">
        <v>1693</v>
      </c>
      <c r="D80" s="455"/>
      <c r="E80" s="455"/>
      <c r="F80" s="455" t="s">
        <v>1694</v>
      </c>
      <c r="G80" s="41"/>
      <c r="H80" s="646"/>
      <c r="I80" s="482"/>
      <c r="J80" s="494"/>
      <c r="K80" s="495"/>
      <c r="L80" s="103"/>
      <c r="M80" s="458"/>
      <c r="N80" s="81"/>
      <c r="O80" s="483"/>
      <c r="P80" s="484"/>
      <c r="Q80" s="484"/>
      <c r="R80" s="484"/>
      <c r="S80" s="485"/>
      <c r="T80" s="486"/>
      <c r="U80" s="487"/>
      <c r="V80" s="487"/>
      <c r="W80" s="487"/>
      <c r="X80" s="487"/>
      <c r="Y80" s="487"/>
      <c r="Z80" s="487"/>
      <c r="AA80" s="487"/>
      <c r="AB80" s="487"/>
      <c r="AC80" s="487"/>
      <c r="AD80" s="487"/>
      <c r="AE80" s="487"/>
      <c r="AF80" s="487"/>
      <c r="AG80" s="487"/>
      <c r="AH80" s="487"/>
      <c r="AI80" s="487"/>
      <c r="AJ80" s="487"/>
      <c r="AK80" s="487"/>
      <c r="AL80" s="487"/>
      <c r="AM80" s="487"/>
      <c r="AN80" s="487"/>
      <c r="AO80" s="487"/>
      <c r="AP80" s="487"/>
      <c r="AQ80" s="487"/>
      <c r="AR80" s="487"/>
      <c r="AS80" s="487"/>
      <c r="AT80" s="488"/>
      <c r="AU80" s="103"/>
      <c r="AV80" s="486"/>
      <c r="AW80" s="488"/>
      <c r="AX80" s="28"/>
      <c r="AY80" s="10"/>
    </row>
    <row r="81" spans="1:51" ht="14.25">
      <c r="A81" s="40"/>
      <c r="B81" s="12"/>
      <c r="C81" s="12" t="s">
        <v>1693</v>
      </c>
      <c r="D81" s="455"/>
      <c r="E81" s="455"/>
      <c r="F81" s="455" t="s">
        <v>1694</v>
      </c>
      <c r="G81" s="41"/>
      <c r="H81" s="646"/>
      <c r="I81" s="482"/>
      <c r="J81" s="494"/>
      <c r="K81" s="495"/>
      <c r="L81" s="103"/>
      <c r="M81" s="458"/>
      <c r="N81" s="81"/>
      <c r="O81" s="483"/>
      <c r="P81" s="484"/>
      <c r="Q81" s="484"/>
      <c r="R81" s="484"/>
      <c r="S81" s="485"/>
      <c r="T81" s="486"/>
      <c r="U81" s="487"/>
      <c r="V81" s="487"/>
      <c r="W81" s="487"/>
      <c r="X81" s="487"/>
      <c r="Y81" s="487"/>
      <c r="Z81" s="487"/>
      <c r="AA81" s="487"/>
      <c r="AB81" s="487"/>
      <c r="AC81" s="487"/>
      <c r="AD81" s="487"/>
      <c r="AE81" s="487"/>
      <c r="AF81" s="487"/>
      <c r="AG81" s="487"/>
      <c r="AH81" s="487"/>
      <c r="AI81" s="487"/>
      <c r="AJ81" s="487"/>
      <c r="AK81" s="487"/>
      <c r="AL81" s="487"/>
      <c r="AM81" s="487"/>
      <c r="AN81" s="487"/>
      <c r="AO81" s="487"/>
      <c r="AP81" s="487"/>
      <c r="AQ81" s="487"/>
      <c r="AR81" s="487"/>
      <c r="AS81" s="487"/>
      <c r="AT81" s="488"/>
      <c r="AU81" s="103"/>
      <c r="AV81" s="486"/>
      <c r="AW81" s="488"/>
      <c r="AX81" s="28"/>
      <c r="AY81" s="10"/>
    </row>
    <row r="82" spans="1:51" ht="14.25">
      <c r="A82" s="45"/>
      <c r="B82" s="46"/>
      <c r="C82" s="46" t="s">
        <v>1693</v>
      </c>
      <c r="D82" s="476"/>
      <c r="E82" s="476"/>
      <c r="F82" s="476" t="s">
        <v>1694</v>
      </c>
      <c r="G82" s="47"/>
      <c r="H82" s="646"/>
      <c r="I82" s="489"/>
      <c r="J82" s="496"/>
      <c r="K82" s="497"/>
      <c r="L82" s="103"/>
      <c r="M82" s="464"/>
      <c r="N82" s="81"/>
      <c r="O82" s="498"/>
      <c r="P82" s="499"/>
      <c r="Q82" s="499"/>
      <c r="R82" s="499"/>
      <c r="S82" s="500"/>
      <c r="T82" s="486"/>
      <c r="U82" s="501"/>
      <c r="V82" s="501"/>
      <c r="W82" s="501"/>
      <c r="X82" s="501"/>
      <c r="Y82" s="501"/>
      <c r="Z82" s="501"/>
      <c r="AA82" s="501"/>
      <c r="AB82" s="501"/>
      <c r="AC82" s="501"/>
      <c r="AD82" s="501"/>
      <c r="AE82" s="501"/>
      <c r="AF82" s="501"/>
      <c r="AG82" s="501"/>
      <c r="AH82" s="501"/>
      <c r="AI82" s="501"/>
      <c r="AJ82" s="501"/>
      <c r="AK82" s="501"/>
      <c r="AL82" s="501"/>
      <c r="AM82" s="501"/>
      <c r="AN82" s="501"/>
      <c r="AO82" s="501"/>
      <c r="AP82" s="501"/>
      <c r="AQ82" s="501"/>
      <c r="AR82" s="501"/>
      <c r="AS82" s="501"/>
      <c r="AT82" s="502"/>
      <c r="AU82" s="103"/>
      <c r="AV82" s="503"/>
      <c r="AW82" s="502"/>
      <c r="AX82" s="28"/>
      <c r="AY82" s="10"/>
    </row>
    <row r="83" spans="1:51" ht="14.25">
      <c r="A83" s="92"/>
      <c r="B83" s="92"/>
      <c r="C83" s="92"/>
      <c r="D83" s="91"/>
      <c r="E83" s="91"/>
      <c r="F83" s="91"/>
      <c r="G83" s="159"/>
      <c r="H83" s="647"/>
      <c r="I83" s="490"/>
      <c r="J83" s="469" t="s">
        <v>1713</v>
      </c>
      <c r="K83" s="470"/>
      <c r="L83" s="103"/>
      <c r="M83" s="471"/>
      <c r="N83" s="81"/>
      <c r="O83" s="472">
        <f t="shared" ref="O83:AW83" si="7">SUM(O48:O82)</f>
        <v>0</v>
      </c>
      <c r="P83" s="473">
        <f t="shared" si="7"/>
        <v>0</v>
      </c>
      <c r="Q83" s="473">
        <f t="shared" si="7"/>
        <v>0</v>
      </c>
      <c r="R83" s="473">
        <f t="shared" si="7"/>
        <v>0</v>
      </c>
      <c r="S83" s="474">
        <f t="shared" si="7"/>
        <v>0</v>
      </c>
      <c r="T83" s="504">
        <f t="shared" si="7"/>
        <v>0</v>
      </c>
      <c r="U83" s="473">
        <f t="shared" si="7"/>
        <v>0</v>
      </c>
      <c r="V83" s="473">
        <f t="shared" si="7"/>
        <v>0</v>
      </c>
      <c r="W83" s="473">
        <f t="shared" si="7"/>
        <v>0</v>
      </c>
      <c r="X83" s="473">
        <f t="shared" si="7"/>
        <v>0</v>
      </c>
      <c r="Y83" s="473">
        <f t="shared" si="7"/>
        <v>0</v>
      </c>
      <c r="Z83" s="473">
        <f t="shared" si="7"/>
        <v>0</v>
      </c>
      <c r="AA83" s="473">
        <f t="shared" si="7"/>
        <v>0</v>
      </c>
      <c r="AB83" s="473">
        <f t="shared" si="7"/>
        <v>0</v>
      </c>
      <c r="AC83" s="473">
        <f t="shared" si="7"/>
        <v>0</v>
      </c>
      <c r="AD83" s="473">
        <f t="shared" si="7"/>
        <v>0</v>
      </c>
      <c r="AE83" s="473">
        <f t="shared" si="7"/>
        <v>0</v>
      </c>
      <c r="AF83" s="473">
        <f t="shared" si="7"/>
        <v>0</v>
      </c>
      <c r="AG83" s="473">
        <f t="shared" si="7"/>
        <v>0</v>
      </c>
      <c r="AH83" s="473">
        <f t="shared" si="7"/>
        <v>0</v>
      </c>
      <c r="AI83" s="473">
        <f t="shared" si="7"/>
        <v>0</v>
      </c>
      <c r="AJ83" s="473">
        <f t="shared" si="7"/>
        <v>0</v>
      </c>
      <c r="AK83" s="473">
        <f t="shared" si="7"/>
        <v>0</v>
      </c>
      <c r="AL83" s="473">
        <f t="shared" si="7"/>
        <v>0</v>
      </c>
      <c r="AM83" s="473">
        <f t="shared" si="7"/>
        <v>0</v>
      </c>
      <c r="AN83" s="473">
        <f t="shared" si="7"/>
        <v>0</v>
      </c>
      <c r="AO83" s="473">
        <f t="shared" si="7"/>
        <v>0</v>
      </c>
      <c r="AP83" s="473">
        <f t="shared" si="7"/>
        <v>0</v>
      </c>
      <c r="AQ83" s="473">
        <f t="shared" si="7"/>
        <v>0</v>
      </c>
      <c r="AR83" s="473">
        <f t="shared" si="7"/>
        <v>0</v>
      </c>
      <c r="AS83" s="473">
        <f t="shared" si="7"/>
        <v>0</v>
      </c>
      <c r="AT83" s="474">
        <f t="shared" si="7"/>
        <v>0</v>
      </c>
      <c r="AU83" s="475"/>
      <c r="AV83" s="472">
        <f t="shared" si="7"/>
        <v>0</v>
      </c>
      <c r="AW83" s="474">
        <f t="shared" si="7"/>
        <v>0</v>
      </c>
      <c r="AX83" s="28"/>
      <c r="AY83" s="98"/>
    </row>
    <row r="84" spans="1:51" ht="14.25">
      <c r="A84" s="10"/>
      <c r="B84" s="10"/>
      <c r="C84" s="10"/>
      <c r="D84" s="76"/>
      <c r="E84" s="76"/>
      <c r="F84" s="76"/>
      <c r="G84" s="10"/>
      <c r="H84" s="92"/>
      <c r="I84" s="92"/>
      <c r="J84" s="132"/>
      <c r="K84" s="132"/>
      <c r="L84" s="98"/>
      <c r="M84" s="413"/>
      <c r="N84" s="10"/>
      <c r="O84" s="244"/>
      <c r="P84" s="244"/>
      <c r="Q84" s="244"/>
      <c r="R84" s="244"/>
      <c r="S84" s="244"/>
      <c r="T84" s="244"/>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98"/>
      <c r="AV84" s="107"/>
      <c r="AW84" s="107"/>
      <c r="AX84" s="10"/>
      <c r="AY84" s="10"/>
    </row>
    <row r="85" spans="1:51" ht="14.25">
      <c r="A85" s="77"/>
      <c r="B85" s="77"/>
      <c r="C85" s="77"/>
      <c r="D85" s="78"/>
      <c r="E85" s="78"/>
      <c r="F85" s="78"/>
      <c r="G85" s="77"/>
      <c r="H85" s="77"/>
      <c r="I85" s="105"/>
      <c r="J85" s="505" t="s">
        <v>1714</v>
      </c>
      <c r="K85" s="505" t="s">
        <v>1715</v>
      </c>
      <c r="L85" s="245"/>
      <c r="M85" s="410"/>
      <c r="N85" s="10"/>
      <c r="O85" s="238"/>
      <c r="P85" s="238"/>
      <c r="Q85" s="238"/>
      <c r="R85" s="238"/>
      <c r="S85" s="238"/>
      <c r="T85" s="238"/>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98"/>
      <c r="AV85" s="104"/>
      <c r="AW85" s="104"/>
      <c r="AX85" s="10"/>
      <c r="AY85" s="10"/>
    </row>
    <row r="86" spans="1:51" ht="14.25">
      <c r="A86" s="36"/>
      <c r="B86" s="37"/>
      <c r="C86" s="37"/>
      <c r="D86" s="446"/>
      <c r="E86" s="446"/>
      <c r="F86" s="446" t="s">
        <v>1694</v>
      </c>
      <c r="G86" s="447"/>
      <c r="H86" s="645" t="s">
        <v>1716</v>
      </c>
      <c r="I86" s="477"/>
      <c r="J86" s="506"/>
      <c r="K86" s="507"/>
      <c r="L86" s="103"/>
      <c r="M86" s="450"/>
      <c r="N86" s="81"/>
      <c r="O86" s="478"/>
      <c r="P86" s="479"/>
      <c r="Q86" s="479"/>
      <c r="R86" s="479"/>
      <c r="S86" s="480"/>
      <c r="T86" s="508"/>
      <c r="U86" s="509"/>
      <c r="V86" s="509"/>
      <c r="W86" s="509"/>
      <c r="X86" s="509"/>
      <c r="Y86" s="509"/>
      <c r="Z86" s="509"/>
      <c r="AA86" s="509"/>
      <c r="AB86" s="509"/>
      <c r="AC86" s="509"/>
      <c r="AD86" s="509"/>
      <c r="AE86" s="509"/>
      <c r="AF86" s="509"/>
      <c r="AG86" s="509"/>
      <c r="AH86" s="509"/>
      <c r="AI86" s="509"/>
      <c r="AJ86" s="509"/>
      <c r="AK86" s="509"/>
      <c r="AL86" s="509"/>
      <c r="AM86" s="509"/>
      <c r="AN86" s="509"/>
      <c r="AO86" s="509"/>
      <c r="AP86" s="509"/>
      <c r="AQ86" s="509"/>
      <c r="AR86" s="509"/>
      <c r="AS86" s="509"/>
      <c r="AT86" s="510"/>
      <c r="AU86" s="103"/>
      <c r="AV86" s="511"/>
      <c r="AW86" s="510"/>
      <c r="AX86" s="28"/>
      <c r="AY86" s="10"/>
    </row>
    <row r="87" spans="1:51" ht="14.25">
      <c r="A87" s="40"/>
      <c r="B87" s="12"/>
      <c r="C87" s="12"/>
      <c r="D87" s="455"/>
      <c r="E87" s="455"/>
      <c r="F87" s="455" t="s">
        <v>1694</v>
      </c>
      <c r="G87" s="41"/>
      <c r="H87" s="646"/>
      <c r="I87" s="482"/>
      <c r="J87" s="512"/>
      <c r="K87" s="513"/>
      <c r="L87" s="103"/>
      <c r="M87" s="458"/>
      <c r="N87" s="81"/>
      <c r="O87" s="483"/>
      <c r="P87" s="484"/>
      <c r="Q87" s="484"/>
      <c r="R87" s="484"/>
      <c r="S87" s="485"/>
      <c r="T87" s="486"/>
      <c r="U87" s="514"/>
      <c r="V87" s="514"/>
      <c r="W87" s="514"/>
      <c r="X87" s="514"/>
      <c r="Y87" s="514"/>
      <c r="Z87" s="514"/>
      <c r="AA87" s="514"/>
      <c r="AB87" s="514"/>
      <c r="AC87" s="514"/>
      <c r="AD87" s="514"/>
      <c r="AE87" s="514"/>
      <c r="AF87" s="514"/>
      <c r="AG87" s="514"/>
      <c r="AH87" s="514"/>
      <c r="AI87" s="514"/>
      <c r="AJ87" s="514"/>
      <c r="AK87" s="514"/>
      <c r="AL87" s="514"/>
      <c r="AM87" s="514"/>
      <c r="AN87" s="514"/>
      <c r="AO87" s="514"/>
      <c r="AP87" s="514"/>
      <c r="AQ87" s="514"/>
      <c r="AR87" s="514"/>
      <c r="AS87" s="514"/>
      <c r="AT87" s="515"/>
      <c r="AU87" s="103"/>
      <c r="AV87" s="516"/>
      <c r="AW87" s="515"/>
      <c r="AX87" s="28"/>
      <c r="AY87" s="10"/>
    </row>
    <row r="88" spans="1:51" ht="14.25">
      <c r="A88" s="40"/>
      <c r="B88" s="12"/>
      <c r="C88" s="12"/>
      <c r="D88" s="455"/>
      <c r="E88" s="455"/>
      <c r="F88" s="455" t="s">
        <v>1694</v>
      </c>
      <c r="G88" s="41"/>
      <c r="H88" s="646"/>
      <c r="I88" s="482"/>
      <c r="J88" s="512"/>
      <c r="K88" s="513"/>
      <c r="L88" s="103"/>
      <c r="M88" s="458"/>
      <c r="N88" s="81"/>
      <c r="O88" s="483"/>
      <c r="P88" s="484"/>
      <c r="Q88" s="484"/>
      <c r="R88" s="484"/>
      <c r="S88" s="485"/>
      <c r="T88" s="486"/>
      <c r="U88" s="514"/>
      <c r="V88" s="514"/>
      <c r="W88" s="514"/>
      <c r="X88" s="514"/>
      <c r="Y88" s="514"/>
      <c r="Z88" s="514"/>
      <c r="AA88" s="514"/>
      <c r="AB88" s="514"/>
      <c r="AC88" s="514"/>
      <c r="AD88" s="514"/>
      <c r="AE88" s="514"/>
      <c r="AF88" s="514"/>
      <c r="AG88" s="514"/>
      <c r="AH88" s="514"/>
      <c r="AI88" s="514"/>
      <c r="AJ88" s="514"/>
      <c r="AK88" s="514"/>
      <c r="AL88" s="514"/>
      <c r="AM88" s="514"/>
      <c r="AN88" s="514"/>
      <c r="AO88" s="514"/>
      <c r="AP88" s="514"/>
      <c r="AQ88" s="514"/>
      <c r="AR88" s="514"/>
      <c r="AS88" s="514"/>
      <c r="AT88" s="515"/>
      <c r="AU88" s="103"/>
      <c r="AV88" s="516"/>
      <c r="AW88" s="515"/>
      <c r="AX88" s="28"/>
      <c r="AY88" s="10"/>
    </row>
    <row r="89" spans="1:51" ht="14.25" hidden="1">
      <c r="A89" s="40"/>
      <c r="B89" s="12"/>
      <c r="C89" s="12"/>
      <c r="D89" s="455"/>
      <c r="E89" s="455"/>
      <c r="F89" s="455" t="s">
        <v>1694</v>
      </c>
      <c r="G89" s="41"/>
      <c r="H89" s="646"/>
      <c r="I89" s="482"/>
      <c r="J89" s="512"/>
      <c r="K89" s="513"/>
      <c r="L89" s="103"/>
      <c r="M89" s="458"/>
      <c r="N89" s="81"/>
      <c r="O89" s="483"/>
      <c r="P89" s="484"/>
      <c r="Q89" s="484"/>
      <c r="R89" s="484"/>
      <c r="S89" s="485"/>
      <c r="T89" s="486"/>
      <c r="U89" s="514"/>
      <c r="V89" s="514"/>
      <c r="W89" s="514"/>
      <c r="X89" s="514"/>
      <c r="Y89" s="514"/>
      <c r="Z89" s="514"/>
      <c r="AA89" s="514"/>
      <c r="AB89" s="514"/>
      <c r="AC89" s="514"/>
      <c r="AD89" s="514"/>
      <c r="AE89" s="514"/>
      <c r="AF89" s="514"/>
      <c r="AG89" s="514"/>
      <c r="AH89" s="514"/>
      <c r="AI89" s="514"/>
      <c r="AJ89" s="514"/>
      <c r="AK89" s="514"/>
      <c r="AL89" s="514"/>
      <c r="AM89" s="514"/>
      <c r="AN89" s="514"/>
      <c r="AO89" s="514"/>
      <c r="AP89" s="514"/>
      <c r="AQ89" s="514"/>
      <c r="AR89" s="514"/>
      <c r="AS89" s="514"/>
      <c r="AT89" s="515"/>
      <c r="AU89" s="103"/>
      <c r="AV89" s="516"/>
      <c r="AW89" s="515"/>
      <c r="AX89" s="28"/>
      <c r="AY89" s="10"/>
    </row>
    <row r="90" spans="1:51" ht="14.25" hidden="1">
      <c r="A90" s="40"/>
      <c r="B90" s="12"/>
      <c r="C90" s="12"/>
      <c r="D90" s="455"/>
      <c r="E90" s="455"/>
      <c r="F90" s="455" t="s">
        <v>1694</v>
      </c>
      <c r="G90" s="41"/>
      <c r="H90" s="646"/>
      <c r="I90" s="482"/>
      <c r="J90" s="512"/>
      <c r="K90" s="513"/>
      <c r="L90" s="103"/>
      <c r="M90" s="458"/>
      <c r="N90" s="81"/>
      <c r="O90" s="483"/>
      <c r="P90" s="484"/>
      <c r="Q90" s="484"/>
      <c r="R90" s="484"/>
      <c r="S90" s="485"/>
      <c r="T90" s="486"/>
      <c r="U90" s="514"/>
      <c r="V90" s="514"/>
      <c r="W90" s="514"/>
      <c r="X90" s="514"/>
      <c r="Y90" s="514"/>
      <c r="Z90" s="514"/>
      <c r="AA90" s="514"/>
      <c r="AB90" s="514"/>
      <c r="AC90" s="514"/>
      <c r="AD90" s="514"/>
      <c r="AE90" s="514"/>
      <c r="AF90" s="514"/>
      <c r="AG90" s="514"/>
      <c r="AH90" s="514"/>
      <c r="AI90" s="514"/>
      <c r="AJ90" s="514"/>
      <c r="AK90" s="514"/>
      <c r="AL90" s="514"/>
      <c r="AM90" s="514"/>
      <c r="AN90" s="514"/>
      <c r="AO90" s="514"/>
      <c r="AP90" s="514"/>
      <c r="AQ90" s="514"/>
      <c r="AR90" s="514"/>
      <c r="AS90" s="514"/>
      <c r="AT90" s="515"/>
      <c r="AU90" s="103"/>
      <c r="AV90" s="516"/>
      <c r="AW90" s="515"/>
      <c r="AX90" s="28"/>
      <c r="AY90" s="10"/>
    </row>
    <row r="91" spans="1:51" ht="14.25" hidden="1">
      <c r="A91" s="40"/>
      <c r="B91" s="12"/>
      <c r="C91" s="12"/>
      <c r="D91" s="455"/>
      <c r="E91" s="455"/>
      <c r="F91" s="455" t="s">
        <v>1694</v>
      </c>
      <c r="G91" s="41"/>
      <c r="H91" s="646"/>
      <c r="I91" s="482"/>
      <c r="J91" s="512"/>
      <c r="K91" s="513"/>
      <c r="L91" s="103"/>
      <c r="M91" s="458"/>
      <c r="N91" s="81"/>
      <c r="O91" s="483"/>
      <c r="P91" s="484"/>
      <c r="Q91" s="484"/>
      <c r="R91" s="484"/>
      <c r="S91" s="485"/>
      <c r="T91" s="486"/>
      <c r="U91" s="514"/>
      <c r="V91" s="514"/>
      <c r="W91" s="514"/>
      <c r="X91" s="514"/>
      <c r="Y91" s="514"/>
      <c r="Z91" s="514"/>
      <c r="AA91" s="514"/>
      <c r="AB91" s="514"/>
      <c r="AC91" s="514"/>
      <c r="AD91" s="514"/>
      <c r="AE91" s="514"/>
      <c r="AF91" s="514"/>
      <c r="AG91" s="514"/>
      <c r="AH91" s="514"/>
      <c r="AI91" s="514"/>
      <c r="AJ91" s="514"/>
      <c r="AK91" s="514"/>
      <c r="AL91" s="514"/>
      <c r="AM91" s="514"/>
      <c r="AN91" s="514"/>
      <c r="AO91" s="514"/>
      <c r="AP91" s="514"/>
      <c r="AQ91" s="514"/>
      <c r="AR91" s="514"/>
      <c r="AS91" s="514"/>
      <c r="AT91" s="515"/>
      <c r="AU91" s="103"/>
      <c r="AV91" s="516"/>
      <c r="AW91" s="515"/>
      <c r="AX91" s="28"/>
      <c r="AY91" s="10"/>
    </row>
    <row r="92" spans="1:51" ht="14.25" hidden="1">
      <c r="A92" s="40"/>
      <c r="B92" s="12"/>
      <c r="C92" s="12"/>
      <c r="D92" s="455"/>
      <c r="E92" s="455"/>
      <c r="F92" s="455" t="s">
        <v>1694</v>
      </c>
      <c r="G92" s="41"/>
      <c r="H92" s="646"/>
      <c r="I92" s="482"/>
      <c r="J92" s="512"/>
      <c r="K92" s="513"/>
      <c r="L92" s="103"/>
      <c r="M92" s="458"/>
      <c r="N92" s="81"/>
      <c r="O92" s="483"/>
      <c r="P92" s="484"/>
      <c r="Q92" s="484"/>
      <c r="R92" s="484"/>
      <c r="S92" s="485"/>
      <c r="T92" s="486"/>
      <c r="U92" s="514"/>
      <c r="V92" s="514"/>
      <c r="W92" s="514"/>
      <c r="X92" s="514"/>
      <c r="Y92" s="514"/>
      <c r="Z92" s="514"/>
      <c r="AA92" s="514"/>
      <c r="AB92" s="514"/>
      <c r="AC92" s="514"/>
      <c r="AD92" s="514"/>
      <c r="AE92" s="514"/>
      <c r="AF92" s="514"/>
      <c r="AG92" s="514"/>
      <c r="AH92" s="514"/>
      <c r="AI92" s="514"/>
      <c r="AJ92" s="514"/>
      <c r="AK92" s="514"/>
      <c r="AL92" s="514"/>
      <c r="AM92" s="514"/>
      <c r="AN92" s="514"/>
      <c r="AO92" s="514"/>
      <c r="AP92" s="514"/>
      <c r="AQ92" s="514"/>
      <c r="AR92" s="514"/>
      <c r="AS92" s="514"/>
      <c r="AT92" s="515"/>
      <c r="AU92" s="103"/>
      <c r="AV92" s="516"/>
      <c r="AW92" s="515"/>
      <c r="AX92" s="28"/>
      <c r="AY92" s="10"/>
    </row>
    <row r="93" spans="1:51" ht="14.25" hidden="1">
      <c r="A93" s="40"/>
      <c r="B93" s="12"/>
      <c r="C93" s="12"/>
      <c r="D93" s="455"/>
      <c r="E93" s="455"/>
      <c r="F93" s="455" t="s">
        <v>1694</v>
      </c>
      <c r="G93" s="41"/>
      <c r="H93" s="646"/>
      <c r="I93" s="482"/>
      <c r="J93" s="512"/>
      <c r="K93" s="513"/>
      <c r="L93" s="103"/>
      <c r="M93" s="458"/>
      <c r="N93" s="81"/>
      <c r="O93" s="483"/>
      <c r="P93" s="484"/>
      <c r="Q93" s="484"/>
      <c r="R93" s="484"/>
      <c r="S93" s="485"/>
      <c r="T93" s="486"/>
      <c r="U93" s="514"/>
      <c r="V93" s="514"/>
      <c r="W93" s="514"/>
      <c r="X93" s="514"/>
      <c r="Y93" s="514"/>
      <c r="Z93" s="514"/>
      <c r="AA93" s="514"/>
      <c r="AB93" s="514"/>
      <c r="AC93" s="514"/>
      <c r="AD93" s="514"/>
      <c r="AE93" s="514"/>
      <c r="AF93" s="514"/>
      <c r="AG93" s="514"/>
      <c r="AH93" s="514"/>
      <c r="AI93" s="514"/>
      <c r="AJ93" s="514"/>
      <c r="AK93" s="514"/>
      <c r="AL93" s="514"/>
      <c r="AM93" s="514"/>
      <c r="AN93" s="514"/>
      <c r="AO93" s="514"/>
      <c r="AP93" s="514"/>
      <c r="AQ93" s="514"/>
      <c r="AR93" s="514"/>
      <c r="AS93" s="514"/>
      <c r="AT93" s="515"/>
      <c r="AU93" s="103"/>
      <c r="AV93" s="516"/>
      <c r="AW93" s="515"/>
      <c r="AX93" s="28"/>
      <c r="AY93" s="10"/>
    </row>
    <row r="94" spans="1:51" ht="14.25" hidden="1">
      <c r="A94" s="40"/>
      <c r="B94" s="12"/>
      <c r="C94" s="12"/>
      <c r="D94" s="455"/>
      <c r="E94" s="455"/>
      <c r="F94" s="455" t="s">
        <v>1694</v>
      </c>
      <c r="G94" s="41"/>
      <c r="H94" s="646"/>
      <c r="I94" s="482"/>
      <c r="J94" s="512"/>
      <c r="K94" s="513"/>
      <c r="L94" s="103"/>
      <c r="M94" s="458"/>
      <c r="N94" s="81"/>
      <c r="O94" s="483"/>
      <c r="P94" s="484"/>
      <c r="Q94" s="484"/>
      <c r="R94" s="484"/>
      <c r="S94" s="485"/>
      <c r="T94" s="486"/>
      <c r="U94" s="514"/>
      <c r="V94" s="514"/>
      <c r="W94" s="514"/>
      <c r="X94" s="514"/>
      <c r="Y94" s="514"/>
      <c r="Z94" s="514"/>
      <c r="AA94" s="514"/>
      <c r="AB94" s="514"/>
      <c r="AC94" s="514"/>
      <c r="AD94" s="514"/>
      <c r="AE94" s="514"/>
      <c r="AF94" s="514"/>
      <c r="AG94" s="514"/>
      <c r="AH94" s="514"/>
      <c r="AI94" s="514"/>
      <c r="AJ94" s="514"/>
      <c r="AK94" s="514"/>
      <c r="AL94" s="514"/>
      <c r="AM94" s="514"/>
      <c r="AN94" s="514"/>
      <c r="AO94" s="514"/>
      <c r="AP94" s="514"/>
      <c r="AQ94" s="514"/>
      <c r="AR94" s="514"/>
      <c r="AS94" s="514"/>
      <c r="AT94" s="515"/>
      <c r="AU94" s="103"/>
      <c r="AV94" s="516"/>
      <c r="AW94" s="515"/>
      <c r="AX94" s="28"/>
      <c r="AY94" s="10"/>
    </row>
    <row r="95" spans="1:51" ht="14.25" hidden="1">
      <c r="A95" s="40"/>
      <c r="B95" s="12"/>
      <c r="C95" s="12"/>
      <c r="D95" s="455"/>
      <c r="E95" s="455"/>
      <c r="F95" s="455" t="s">
        <v>1694</v>
      </c>
      <c r="G95" s="41"/>
      <c r="H95" s="646"/>
      <c r="I95" s="482"/>
      <c r="J95" s="512"/>
      <c r="K95" s="513"/>
      <c r="L95" s="103"/>
      <c r="M95" s="458"/>
      <c r="N95" s="81"/>
      <c r="O95" s="483"/>
      <c r="P95" s="484"/>
      <c r="Q95" s="484"/>
      <c r="R95" s="484"/>
      <c r="S95" s="485"/>
      <c r="T95" s="486"/>
      <c r="U95" s="514"/>
      <c r="V95" s="514"/>
      <c r="W95" s="514"/>
      <c r="X95" s="514"/>
      <c r="Y95" s="514"/>
      <c r="Z95" s="514"/>
      <c r="AA95" s="514"/>
      <c r="AB95" s="514"/>
      <c r="AC95" s="514"/>
      <c r="AD95" s="514"/>
      <c r="AE95" s="514"/>
      <c r="AF95" s="514"/>
      <c r="AG95" s="514"/>
      <c r="AH95" s="514"/>
      <c r="AI95" s="514"/>
      <c r="AJ95" s="514"/>
      <c r="AK95" s="514"/>
      <c r="AL95" s="514"/>
      <c r="AM95" s="514"/>
      <c r="AN95" s="514"/>
      <c r="AO95" s="514"/>
      <c r="AP95" s="514"/>
      <c r="AQ95" s="514"/>
      <c r="AR95" s="514"/>
      <c r="AS95" s="514"/>
      <c r="AT95" s="515"/>
      <c r="AU95" s="103"/>
      <c r="AV95" s="516"/>
      <c r="AW95" s="515"/>
      <c r="AX95" s="28"/>
      <c r="AY95" s="10"/>
    </row>
    <row r="96" spans="1:51" ht="14.25" hidden="1">
      <c r="A96" s="40"/>
      <c r="B96" s="12"/>
      <c r="C96" s="12"/>
      <c r="D96" s="455"/>
      <c r="E96" s="455"/>
      <c r="F96" s="455" t="s">
        <v>1694</v>
      </c>
      <c r="G96" s="41"/>
      <c r="H96" s="646"/>
      <c r="I96" s="482"/>
      <c r="J96" s="512"/>
      <c r="K96" s="513"/>
      <c r="L96" s="103"/>
      <c r="M96" s="458"/>
      <c r="N96" s="81"/>
      <c r="O96" s="483"/>
      <c r="P96" s="484"/>
      <c r="Q96" s="484"/>
      <c r="R96" s="484"/>
      <c r="S96" s="485"/>
      <c r="T96" s="486"/>
      <c r="U96" s="514"/>
      <c r="V96" s="514"/>
      <c r="W96" s="514"/>
      <c r="X96" s="514"/>
      <c r="Y96" s="514"/>
      <c r="Z96" s="514"/>
      <c r="AA96" s="514"/>
      <c r="AB96" s="514"/>
      <c r="AC96" s="514"/>
      <c r="AD96" s="514"/>
      <c r="AE96" s="514"/>
      <c r="AF96" s="514"/>
      <c r="AG96" s="514"/>
      <c r="AH96" s="514"/>
      <c r="AI96" s="514"/>
      <c r="AJ96" s="514"/>
      <c r="AK96" s="514"/>
      <c r="AL96" s="514"/>
      <c r="AM96" s="514"/>
      <c r="AN96" s="514"/>
      <c r="AO96" s="514"/>
      <c r="AP96" s="514"/>
      <c r="AQ96" s="514"/>
      <c r="AR96" s="514"/>
      <c r="AS96" s="514"/>
      <c r="AT96" s="515"/>
      <c r="AU96" s="103"/>
      <c r="AV96" s="516"/>
      <c r="AW96" s="515"/>
      <c r="AX96" s="28"/>
      <c r="AY96" s="10"/>
    </row>
    <row r="97" spans="1:51" ht="14.25" hidden="1">
      <c r="A97" s="40"/>
      <c r="B97" s="12"/>
      <c r="C97" s="12"/>
      <c r="D97" s="455"/>
      <c r="E97" s="455"/>
      <c r="F97" s="455" t="s">
        <v>1694</v>
      </c>
      <c r="G97" s="41"/>
      <c r="H97" s="646"/>
      <c r="I97" s="482"/>
      <c r="J97" s="512"/>
      <c r="K97" s="513"/>
      <c r="L97" s="103"/>
      <c r="M97" s="458"/>
      <c r="N97" s="81"/>
      <c r="O97" s="483"/>
      <c r="P97" s="484"/>
      <c r="Q97" s="484"/>
      <c r="R97" s="484"/>
      <c r="S97" s="485"/>
      <c r="T97" s="486"/>
      <c r="U97" s="514"/>
      <c r="V97" s="514"/>
      <c r="W97" s="514"/>
      <c r="X97" s="514"/>
      <c r="Y97" s="514"/>
      <c r="Z97" s="514"/>
      <c r="AA97" s="514"/>
      <c r="AB97" s="514"/>
      <c r="AC97" s="514"/>
      <c r="AD97" s="514"/>
      <c r="AE97" s="514"/>
      <c r="AF97" s="514"/>
      <c r="AG97" s="514"/>
      <c r="AH97" s="514"/>
      <c r="AI97" s="514"/>
      <c r="AJ97" s="514"/>
      <c r="AK97" s="514"/>
      <c r="AL97" s="514"/>
      <c r="AM97" s="514"/>
      <c r="AN97" s="514"/>
      <c r="AO97" s="514"/>
      <c r="AP97" s="514"/>
      <c r="AQ97" s="514"/>
      <c r="AR97" s="514"/>
      <c r="AS97" s="514"/>
      <c r="AT97" s="515"/>
      <c r="AU97" s="103"/>
      <c r="AV97" s="516"/>
      <c r="AW97" s="515"/>
      <c r="AX97" s="28"/>
      <c r="AY97" s="10"/>
    </row>
    <row r="98" spans="1:51" ht="14.25" hidden="1">
      <c r="A98" s="40"/>
      <c r="B98" s="12"/>
      <c r="C98" s="12"/>
      <c r="D98" s="455"/>
      <c r="E98" s="455"/>
      <c r="F98" s="455" t="s">
        <v>1694</v>
      </c>
      <c r="G98" s="41"/>
      <c r="H98" s="646"/>
      <c r="I98" s="482"/>
      <c r="J98" s="512"/>
      <c r="K98" s="513"/>
      <c r="L98" s="103"/>
      <c r="M98" s="458"/>
      <c r="N98" s="81"/>
      <c r="O98" s="483"/>
      <c r="P98" s="484"/>
      <c r="Q98" s="484"/>
      <c r="R98" s="484"/>
      <c r="S98" s="485"/>
      <c r="T98" s="486"/>
      <c r="U98" s="514"/>
      <c r="V98" s="514"/>
      <c r="W98" s="514"/>
      <c r="X98" s="514"/>
      <c r="Y98" s="514"/>
      <c r="Z98" s="514"/>
      <c r="AA98" s="514"/>
      <c r="AB98" s="514"/>
      <c r="AC98" s="514"/>
      <c r="AD98" s="514"/>
      <c r="AE98" s="514"/>
      <c r="AF98" s="514"/>
      <c r="AG98" s="514"/>
      <c r="AH98" s="514"/>
      <c r="AI98" s="514"/>
      <c r="AJ98" s="514"/>
      <c r="AK98" s="514"/>
      <c r="AL98" s="514"/>
      <c r="AM98" s="514"/>
      <c r="AN98" s="514"/>
      <c r="AO98" s="514"/>
      <c r="AP98" s="514"/>
      <c r="AQ98" s="514"/>
      <c r="AR98" s="514"/>
      <c r="AS98" s="514"/>
      <c r="AT98" s="515"/>
      <c r="AU98" s="103"/>
      <c r="AV98" s="516"/>
      <c r="AW98" s="515"/>
      <c r="AX98" s="28"/>
      <c r="AY98" s="10"/>
    </row>
    <row r="99" spans="1:51" ht="14.25" hidden="1">
      <c r="A99" s="40"/>
      <c r="B99" s="12"/>
      <c r="C99" s="12"/>
      <c r="D99" s="455"/>
      <c r="E99" s="455"/>
      <c r="F99" s="455" t="s">
        <v>1694</v>
      </c>
      <c r="G99" s="41"/>
      <c r="H99" s="646"/>
      <c r="I99" s="482"/>
      <c r="J99" s="512"/>
      <c r="K99" s="513"/>
      <c r="L99" s="103"/>
      <c r="M99" s="458"/>
      <c r="N99" s="81"/>
      <c r="O99" s="483"/>
      <c r="P99" s="484"/>
      <c r="Q99" s="484"/>
      <c r="R99" s="484"/>
      <c r="S99" s="485"/>
      <c r="T99" s="486"/>
      <c r="U99" s="514"/>
      <c r="V99" s="514"/>
      <c r="W99" s="514"/>
      <c r="X99" s="514"/>
      <c r="Y99" s="514"/>
      <c r="Z99" s="514"/>
      <c r="AA99" s="514"/>
      <c r="AB99" s="514"/>
      <c r="AC99" s="514"/>
      <c r="AD99" s="514"/>
      <c r="AE99" s="514"/>
      <c r="AF99" s="514"/>
      <c r="AG99" s="514"/>
      <c r="AH99" s="514"/>
      <c r="AI99" s="514"/>
      <c r="AJ99" s="514"/>
      <c r="AK99" s="514"/>
      <c r="AL99" s="514"/>
      <c r="AM99" s="514"/>
      <c r="AN99" s="514"/>
      <c r="AO99" s="514"/>
      <c r="AP99" s="514"/>
      <c r="AQ99" s="514"/>
      <c r="AR99" s="514"/>
      <c r="AS99" s="514"/>
      <c r="AT99" s="515"/>
      <c r="AU99" s="103"/>
      <c r="AV99" s="516"/>
      <c r="AW99" s="515"/>
      <c r="AX99" s="28"/>
      <c r="AY99" s="10"/>
    </row>
    <row r="100" spans="1:51" ht="14.25" hidden="1">
      <c r="A100" s="40"/>
      <c r="B100" s="12"/>
      <c r="C100" s="12"/>
      <c r="D100" s="455"/>
      <c r="E100" s="455"/>
      <c r="F100" s="455" t="s">
        <v>1694</v>
      </c>
      <c r="G100" s="41"/>
      <c r="H100" s="646"/>
      <c r="I100" s="482"/>
      <c r="J100" s="512"/>
      <c r="K100" s="513"/>
      <c r="L100" s="103"/>
      <c r="M100" s="458"/>
      <c r="N100" s="81"/>
      <c r="O100" s="483"/>
      <c r="P100" s="484"/>
      <c r="Q100" s="484"/>
      <c r="R100" s="484"/>
      <c r="S100" s="485"/>
      <c r="T100" s="486"/>
      <c r="U100" s="514"/>
      <c r="V100" s="514"/>
      <c r="W100" s="514"/>
      <c r="X100" s="514"/>
      <c r="Y100" s="514"/>
      <c r="Z100" s="514"/>
      <c r="AA100" s="514"/>
      <c r="AB100" s="514"/>
      <c r="AC100" s="514"/>
      <c r="AD100" s="514"/>
      <c r="AE100" s="514"/>
      <c r="AF100" s="514"/>
      <c r="AG100" s="514"/>
      <c r="AH100" s="514"/>
      <c r="AI100" s="514"/>
      <c r="AJ100" s="514"/>
      <c r="AK100" s="514"/>
      <c r="AL100" s="514"/>
      <c r="AM100" s="514"/>
      <c r="AN100" s="514"/>
      <c r="AO100" s="514"/>
      <c r="AP100" s="514"/>
      <c r="AQ100" s="514"/>
      <c r="AR100" s="514"/>
      <c r="AS100" s="514"/>
      <c r="AT100" s="515"/>
      <c r="AU100" s="103"/>
      <c r="AV100" s="516"/>
      <c r="AW100" s="515"/>
      <c r="AX100" s="28"/>
      <c r="AY100" s="10"/>
    </row>
    <row r="101" spans="1:51" ht="14.25" hidden="1">
      <c r="A101" s="40"/>
      <c r="B101" s="12"/>
      <c r="C101" s="12"/>
      <c r="D101" s="455"/>
      <c r="E101" s="455"/>
      <c r="F101" s="455" t="s">
        <v>1694</v>
      </c>
      <c r="G101" s="41"/>
      <c r="H101" s="646"/>
      <c r="I101" s="482"/>
      <c r="J101" s="512"/>
      <c r="K101" s="513"/>
      <c r="L101" s="103"/>
      <c r="M101" s="458"/>
      <c r="N101" s="81"/>
      <c r="O101" s="483"/>
      <c r="P101" s="484"/>
      <c r="Q101" s="484"/>
      <c r="R101" s="484"/>
      <c r="S101" s="485"/>
      <c r="T101" s="486"/>
      <c r="U101" s="514"/>
      <c r="V101" s="514"/>
      <c r="W101" s="514"/>
      <c r="X101" s="514"/>
      <c r="Y101" s="514"/>
      <c r="Z101" s="514"/>
      <c r="AA101" s="514"/>
      <c r="AB101" s="514"/>
      <c r="AC101" s="514"/>
      <c r="AD101" s="514"/>
      <c r="AE101" s="514"/>
      <c r="AF101" s="514"/>
      <c r="AG101" s="514"/>
      <c r="AH101" s="514"/>
      <c r="AI101" s="514"/>
      <c r="AJ101" s="514"/>
      <c r="AK101" s="514"/>
      <c r="AL101" s="514"/>
      <c r="AM101" s="514"/>
      <c r="AN101" s="514"/>
      <c r="AO101" s="514"/>
      <c r="AP101" s="514"/>
      <c r="AQ101" s="514"/>
      <c r="AR101" s="514"/>
      <c r="AS101" s="514"/>
      <c r="AT101" s="515"/>
      <c r="AU101" s="103"/>
      <c r="AV101" s="516"/>
      <c r="AW101" s="515"/>
      <c r="AX101" s="28"/>
      <c r="AY101" s="10"/>
    </row>
    <row r="102" spans="1:51" ht="14.25" hidden="1">
      <c r="A102" s="40"/>
      <c r="B102" s="12"/>
      <c r="C102" s="12"/>
      <c r="D102" s="455"/>
      <c r="E102" s="455"/>
      <c r="F102" s="455" t="s">
        <v>1694</v>
      </c>
      <c r="G102" s="41"/>
      <c r="H102" s="646"/>
      <c r="I102" s="482"/>
      <c r="J102" s="512"/>
      <c r="K102" s="513"/>
      <c r="L102" s="103"/>
      <c r="M102" s="458"/>
      <c r="N102" s="81"/>
      <c r="O102" s="483"/>
      <c r="P102" s="484"/>
      <c r="Q102" s="484"/>
      <c r="R102" s="484"/>
      <c r="S102" s="485"/>
      <c r="T102" s="486"/>
      <c r="U102" s="514"/>
      <c r="V102" s="514"/>
      <c r="W102" s="514"/>
      <c r="X102" s="514"/>
      <c r="Y102" s="514"/>
      <c r="Z102" s="514"/>
      <c r="AA102" s="514"/>
      <c r="AB102" s="514"/>
      <c r="AC102" s="514"/>
      <c r="AD102" s="514"/>
      <c r="AE102" s="514"/>
      <c r="AF102" s="514"/>
      <c r="AG102" s="514"/>
      <c r="AH102" s="514"/>
      <c r="AI102" s="514"/>
      <c r="AJ102" s="514"/>
      <c r="AK102" s="514"/>
      <c r="AL102" s="514"/>
      <c r="AM102" s="514"/>
      <c r="AN102" s="514"/>
      <c r="AO102" s="514"/>
      <c r="AP102" s="514"/>
      <c r="AQ102" s="514"/>
      <c r="AR102" s="514"/>
      <c r="AS102" s="514"/>
      <c r="AT102" s="515"/>
      <c r="AU102" s="103"/>
      <c r="AV102" s="516"/>
      <c r="AW102" s="515"/>
      <c r="AX102" s="28"/>
      <c r="AY102" s="10"/>
    </row>
    <row r="103" spans="1:51" ht="14.25" hidden="1">
      <c r="A103" s="40"/>
      <c r="B103" s="12"/>
      <c r="C103" s="12"/>
      <c r="D103" s="455"/>
      <c r="E103" s="455"/>
      <c r="F103" s="455" t="s">
        <v>1694</v>
      </c>
      <c r="G103" s="41"/>
      <c r="H103" s="646"/>
      <c r="I103" s="482"/>
      <c r="J103" s="512"/>
      <c r="K103" s="513"/>
      <c r="L103" s="103"/>
      <c r="M103" s="458"/>
      <c r="N103" s="81"/>
      <c r="O103" s="483"/>
      <c r="P103" s="484"/>
      <c r="Q103" s="484"/>
      <c r="R103" s="484"/>
      <c r="S103" s="485"/>
      <c r="T103" s="486"/>
      <c r="U103" s="514"/>
      <c r="V103" s="514"/>
      <c r="W103" s="514"/>
      <c r="X103" s="514"/>
      <c r="Y103" s="514"/>
      <c r="Z103" s="514"/>
      <c r="AA103" s="514"/>
      <c r="AB103" s="514"/>
      <c r="AC103" s="514"/>
      <c r="AD103" s="514"/>
      <c r="AE103" s="514"/>
      <c r="AF103" s="514"/>
      <c r="AG103" s="514"/>
      <c r="AH103" s="514"/>
      <c r="AI103" s="514"/>
      <c r="AJ103" s="514"/>
      <c r="AK103" s="514"/>
      <c r="AL103" s="514"/>
      <c r="AM103" s="514"/>
      <c r="AN103" s="514"/>
      <c r="AO103" s="514"/>
      <c r="AP103" s="514"/>
      <c r="AQ103" s="514"/>
      <c r="AR103" s="514"/>
      <c r="AS103" s="514"/>
      <c r="AT103" s="515"/>
      <c r="AU103" s="103"/>
      <c r="AV103" s="516"/>
      <c r="AW103" s="515"/>
      <c r="AX103" s="28"/>
      <c r="AY103" s="10"/>
    </row>
    <row r="104" spans="1:51" ht="14.25" hidden="1">
      <c r="A104" s="40"/>
      <c r="B104" s="12"/>
      <c r="C104" s="12"/>
      <c r="D104" s="455"/>
      <c r="E104" s="455"/>
      <c r="F104" s="455" t="s">
        <v>1694</v>
      </c>
      <c r="G104" s="41"/>
      <c r="H104" s="646"/>
      <c r="I104" s="482"/>
      <c r="J104" s="512"/>
      <c r="K104" s="513"/>
      <c r="L104" s="103"/>
      <c r="M104" s="458"/>
      <c r="N104" s="81"/>
      <c r="O104" s="483"/>
      <c r="P104" s="484"/>
      <c r="Q104" s="484"/>
      <c r="R104" s="484"/>
      <c r="S104" s="485"/>
      <c r="T104" s="486"/>
      <c r="U104" s="514"/>
      <c r="V104" s="514"/>
      <c r="W104" s="514"/>
      <c r="X104" s="514"/>
      <c r="Y104" s="514"/>
      <c r="Z104" s="514"/>
      <c r="AA104" s="514"/>
      <c r="AB104" s="514"/>
      <c r="AC104" s="514"/>
      <c r="AD104" s="514"/>
      <c r="AE104" s="514"/>
      <c r="AF104" s="514"/>
      <c r="AG104" s="514"/>
      <c r="AH104" s="514"/>
      <c r="AI104" s="514"/>
      <c r="AJ104" s="514"/>
      <c r="AK104" s="514"/>
      <c r="AL104" s="514"/>
      <c r="AM104" s="514"/>
      <c r="AN104" s="514"/>
      <c r="AO104" s="514"/>
      <c r="AP104" s="514"/>
      <c r="AQ104" s="514"/>
      <c r="AR104" s="514"/>
      <c r="AS104" s="514"/>
      <c r="AT104" s="515"/>
      <c r="AU104" s="103"/>
      <c r="AV104" s="516"/>
      <c r="AW104" s="515"/>
      <c r="AX104" s="28"/>
      <c r="AY104" s="10"/>
    </row>
    <row r="105" spans="1:51" ht="14.25" hidden="1">
      <c r="A105" s="40"/>
      <c r="B105" s="12"/>
      <c r="C105" s="12"/>
      <c r="D105" s="455"/>
      <c r="E105" s="455"/>
      <c r="F105" s="455" t="s">
        <v>1694</v>
      </c>
      <c r="G105" s="41"/>
      <c r="H105" s="646"/>
      <c r="I105" s="482"/>
      <c r="J105" s="512"/>
      <c r="K105" s="513"/>
      <c r="L105" s="103"/>
      <c r="M105" s="458"/>
      <c r="N105" s="81"/>
      <c r="O105" s="483"/>
      <c r="P105" s="484"/>
      <c r="Q105" s="484"/>
      <c r="R105" s="484"/>
      <c r="S105" s="485"/>
      <c r="T105" s="486"/>
      <c r="U105" s="514"/>
      <c r="V105" s="514"/>
      <c r="W105" s="514"/>
      <c r="X105" s="514"/>
      <c r="Y105" s="514"/>
      <c r="Z105" s="514"/>
      <c r="AA105" s="514"/>
      <c r="AB105" s="514"/>
      <c r="AC105" s="514"/>
      <c r="AD105" s="514"/>
      <c r="AE105" s="514"/>
      <c r="AF105" s="514"/>
      <c r="AG105" s="514"/>
      <c r="AH105" s="514"/>
      <c r="AI105" s="514"/>
      <c r="AJ105" s="514"/>
      <c r="AK105" s="514"/>
      <c r="AL105" s="514"/>
      <c r="AM105" s="514"/>
      <c r="AN105" s="514"/>
      <c r="AO105" s="514"/>
      <c r="AP105" s="514"/>
      <c r="AQ105" s="514"/>
      <c r="AR105" s="514"/>
      <c r="AS105" s="514"/>
      <c r="AT105" s="515"/>
      <c r="AU105" s="103"/>
      <c r="AV105" s="516"/>
      <c r="AW105" s="515"/>
      <c r="AX105" s="28"/>
      <c r="AY105" s="10"/>
    </row>
    <row r="106" spans="1:51" ht="14.25" hidden="1">
      <c r="A106" s="40"/>
      <c r="B106" s="12"/>
      <c r="C106" s="12"/>
      <c r="D106" s="455"/>
      <c r="E106" s="455"/>
      <c r="F106" s="455" t="s">
        <v>1694</v>
      </c>
      <c r="G106" s="41"/>
      <c r="H106" s="646"/>
      <c r="I106" s="482"/>
      <c r="J106" s="512"/>
      <c r="K106" s="513"/>
      <c r="L106" s="103"/>
      <c r="M106" s="458"/>
      <c r="N106" s="81"/>
      <c r="O106" s="483"/>
      <c r="P106" s="484"/>
      <c r="Q106" s="484"/>
      <c r="R106" s="484"/>
      <c r="S106" s="485"/>
      <c r="T106" s="486"/>
      <c r="U106" s="514"/>
      <c r="V106" s="514"/>
      <c r="W106" s="514"/>
      <c r="X106" s="514"/>
      <c r="Y106" s="514"/>
      <c r="Z106" s="514"/>
      <c r="AA106" s="514"/>
      <c r="AB106" s="514"/>
      <c r="AC106" s="514"/>
      <c r="AD106" s="514"/>
      <c r="AE106" s="514"/>
      <c r="AF106" s="514"/>
      <c r="AG106" s="514"/>
      <c r="AH106" s="514"/>
      <c r="AI106" s="514"/>
      <c r="AJ106" s="514"/>
      <c r="AK106" s="514"/>
      <c r="AL106" s="514"/>
      <c r="AM106" s="514"/>
      <c r="AN106" s="514"/>
      <c r="AO106" s="514"/>
      <c r="AP106" s="514"/>
      <c r="AQ106" s="514"/>
      <c r="AR106" s="514"/>
      <c r="AS106" s="514"/>
      <c r="AT106" s="515"/>
      <c r="AU106" s="103"/>
      <c r="AV106" s="516"/>
      <c r="AW106" s="515"/>
      <c r="AX106" s="28"/>
      <c r="AY106" s="10"/>
    </row>
    <row r="107" spans="1:51" ht="14.25" hidden="1">
      <c r="A107" s="40"/>
      <c r="B107" s="12"/>
      <c r="C107" s="12"/>
      <c r="D107" s="455"/>
      <c r="E107" s="455"/>
      <c r="F107" s="455" t="s">
        <v>1694</v>
      </c>
      <c r="G107" s="41"/>
      <c r="H107" s="646"/>
      <c r="I107" s="482"/>
      <c r="J107" s="512"/>
      <c r="K107" s="513"/>
      <c r="L107" s="103"/>
      <c r="M107" s="458"/>
      <c r="N107" s="81"/>
      <c r="O107" s="483"/>
      <c r="P107" s="484"/>
      <c r="Q107" s="484"/>
      <c r="R107" s="484"/>
      <c r="S107" s="485"/>
      <c r="T107" s="486"/>
      <c r="U107" s="514"/>
      <c r="V107" s="514"/>
      <c r="W107" s="514"/>
      <c r="X107" s="514"/>
      <c r="Y107" s="514"/>
      <c r="Z107" s="514"/>
      <c r="AA107" s="514"/>
      <c r="AB107" s="514"/>
      <c r="AC107" s="514"/>
      <c r="AD107" s="514"/>
      <c r="AE107" s="514"/>
      <c r="AF107" s="514"/>
      <c r="AG107" s="514"/>
      <c r="AH107" s="514"/>
      <c r="AI107" s="514"/>
      <c r="AJ107" s="514"/>
      <c r="AK107" s="514"/>
      <c r="AL107" s="514"/>
      <c r="AM107" s="514"/>
      <c r="AN107" s="514"/>
      <c r="AO107" s="514"/>
      <c r="AP107" s="514"/>
      <c r="AQ107" s="514"/>
      <c r="AR107" s="514"/>
      <c r="AS107" s="514"/>
      <c r="AT107" s="515"/>
      <c r="AU107" s="103"/>
      <c r="AV107" s="516"/>
      <c r="AW107" s="515"/>
      <c r="AX107" s="28"/>
      <c r="AY107" s="10"/>
    </row>
    <row r="108" spans="1:51" ht="14.25" hidden="1">
      <c r="A108" s="40"/>
      <c r="B108" s="12"/>
      <c r="C108" s="12"/>
      <c r="D108" s="455"/>
      <c r="E108" s="455"/>
      <c r="F108" s="455" t="s">
        <v>1694</v>
      </c>
      <c r="G108" s="41"/>
      <c r="H108" s="646"/>
      <c r="I108" s="482"/>
      <c r="J108" s="512"/>
      <c r="K108" s="513"/>
      <c r="L108" s="103"/>
      <c r="M108" s="458"/>
      <c r="N108" s="81"/>
      <c r="O108" s="483"/>
      <c r="P108" s="484"/>
      <c r="Q108" s="484"/>
      <c r="R108" s="484"/>
      <c r="S108" s="485"/>
      <c r="T108" s="486"/>
      <c r="U108" s="514"/>
      <c r="V108" s="514"/>
      <c r="W108" s="514"/>
      <c r="X108" s="514"/>
      <c r="Y108" s="514"/>
      <c r="Z108" s="514"/>
      <c r="AA108" s="514"/>
      <c r="AB108" s="514"/>
      <c r="AC108" s="514"/>
      <c r="AD108" s="514"/>
      <c r="AE108" s="514"/>
      <c r="AF108" s="514"/>
      <c r="AG108" s="514"/>
      <c r="AH108" s="514"/>
      <c r="AI108" s="514"/>
      <c r="AJ108" s="514"/>
      <c r="AK108" s="514"/>
      <c r="AL108" s="514"/>
      <c r="AM108" s="514"/>
      <c r="AN108" s="514"/>
      <c r="AO108" s="514"/>
      <c r="AP108" s="514"/>
      <c r="AQ108" s="514"/>
      <c r="AR108" s="514"/>
      <c r="AS108" s="514"/>
      <c r="AT108" s="515"/>
      <c r="AU108" s="103"/>
      <c r="AV108" s="516"/>
      <c r="AW108" s="515"/>
      <c r="AX108" s="28"/>
      <c r="AY108" s="10"/>
    </row>
    <row r="109" spans="1:51" ht="14.25" hidden="1">
      <c r="A109" s="40"/>
      <c r="B109" s="12"/>
      <c r="C109" s="12"/>
      <c r="D109" s="455"/>
      <c r="E109" s="455"/>
      <c r="F109" s="455" t="s">
        <v>1694</v>
      </c>
      <c r="G109" s="41"/>
      <c r="H109" s="646"/>
      <c r="I109" s="482"/>
      <c r="J109" s="512"/>
      <c r="K109" s="513"/>
      <c r="L109" s="103"/>
      <c r="M109" s="458"/>
      <c r="N109" s="81"/>
      <c r="O109" s="483"/>
      <c r="P109" s="484"/>
      <c r="Q109" s="484"/>
      <c r="R109" s="484"/>
      <c r="S109" s="485"/>
      <c r="T109" s="486"/>
      <c r="U109" s="514"/>
      <c r="V109" s="514"/>
      <c r="W109" s="514"/>
      <c r="X109" s="514"/>
      <c r="Y109" s="514"/>
      <c r="Z109" s="514"/>
      <c r="AA109" s="514"/>
      <c r="AB109" s="514"/>
      <c r="AC109" s="514"/>
      <c r="AD109" s="514"/>
      <c r="AE109" s="514"/>
      <c r="AF109" s="514"/>
      <c r="AG109" s="514"/>
      <c r="AH109" s="514"/>
      <c r="AI109" s="514"/>
      <c r="AJ109" s="514"/>
      <c r="AK109" s="514"/>
      <c r="AL109" s="514"/>
      <c r="AM109" s="514"/>
      <c r="AN109" s="514"/>
      <c r="AO109" s="514"/>
      <c r="AP109" s="514"/>
      <c r="AQ109" s="514"/>
      <c r="AR109" s="514"/>
      <c r="AS109" s="514"/>
      <c r="AT109" s="515"/>
      <c r="AU109" s="103"/>
      <c r="AV109" s="516"/>
      <c r="AW109" s="515"/>
      <c r="AX109" s="28"/>
      <c r="AY109" s="10"/>
    </row>
    <row r="110" spans="1:51" ht="14.25" hidden="1">
      <c r="A110" s="40"/>
      <c r="B110" s="12"/>
      <c r="C110" s="12"/>
      <c r="D110" s="455"/>
      <c r="E110" s="455"/>
      <c r="F110" s="455" t="s">
        <v>1694</v>
      </c>
      <c r="G110" s="41"/>
      <c r="H110" s="646"/>
      <c r="I110" s="482"/>
      <c r="J110" s="512"/>
      <c r="K110" s="513"/>
      <c r="L110" s="103"/>
      <c r="M110" s="458"/>
      <c r="N110" s="81"/>
      <c r="O110" s="483"/>
      <c r="P110" s="484"/>
      <c r="Q110" s="484"/>
      <c r="R110" s="484"/>
      <c r="S110" s="485"/>
      <c r="T110" s="486"/>
      <c r="U110" s="514"/>
      <c r="V110" s="514"/>
      <c r="W110" s="514"/>
      <c r="X110" s="514"/>
      <c r="Y110" s="514"/>
      <c r="Z110" s="514"/>
      <c r="AA110" s="514"/>
      <c r="AB110" s="514"/>
      <c r="AC110" s="514"/>
      <c r="AD110" s="514"/>
      <c r="AE110" s="514"/>
      <c r="AF110" s="514"/>
      <c r="AG110" s="514"/>
      <c r="AH110" s="514"/>
      <c r="AI110" s="514"/>
      <c r="AJ110" s="514"/>
      <c r="AK110" s="514"/>
      <c r="AL110" s="514"/>
      <c r="AM110" s="514"/>
      <c r="AN110" s="514"/>
      <c r="AO110" s="514"/>
      <c r="AP110" s="514"/>
      <c r="AQ110" s="514"/>
      <c r="AR110" s="514"/>
      <c r="AS110" s="514"/>
      <c r="AT110" s="515"/>
      <c r="AU110" s="103"/>
      <c r="AV110" s="516"/>
      <c r="AW110" s="515"/>
      <c r="AX110" s="28"/>
      <c r="AY110" s="10"/>
    </row>
    <row r="111" spans="1:51" ht="14.25" hidden="1">
      <c r="A111" s="40"/>
      <c r="B111" s="12"/>
      <c r="C111" s="12"/>
      <c r="D111" s="455"/>
      <c r="E111" s="455"/>
      <c r="F111" s="455" t="s">
        <v>1694</v>
      </c>
      <c r="G111" s="41"/>
      <c r="H111" s="646"/>
      <c r="I111" s="482"/>
      <c r="J111" s="512"/>
      <c r="K111" s="513"/>
      <c r="L111" s="103"/>
      <c r="M111" s="458"/>
      <c r="N111" s="81"/>
      <c r="O111" s="483"/>
      <c r="P111" s="484"/>
      <c r="Q111" s="484"/>
      <c r="R111" s="484"/>
      <c r="S111" s="485"/>
      <c r="T111" s="486"/>
      <c r="U111" s="514"/>
      <c r="V111" s="514"/>
      <c r="W111" s="514"/>
      <c r="X111" s="514"/>
      <c r="Y111" s="514"/>
      <c r="Z111" s="514"/>
      <c r="AA111" s="514"/>
      <c r="AB111" s="514"/>
      <c r="AC111" s="514"/>
      <c r="AD111" s="514"/>
      <c r="AE111" s="514"/>
      <c r="AF111" s="514"/>
      <c r="AG111" s="514"/>
      <c r="AH111" s="514"/>
      <c r="AI111" s="514"/>
      <c r="AJ111" s="514"/>
      <c r="AK111" s="514"/>
      <c r="AL111" s="514"/>
      <c r="AM111" s="514"/>
      <c r="AN111" s="514"/>
      <c r="AO111" s="514"/>
      <c r="AP111" s="514"/>
      <c r="AQ111" s="514"/>
      <c r="AR111" s="514"/>
      <c r="AS111" s="514"/>
      <c r="AT111" s="515"/>
      <c r="AU111" s="103"/>
      <c r="AV111" s="516"/>
      <c r="AW111" s="515"/>
      <c r="AX111" s="28"/>
      <c r="AY111" s="10"/>
    </row>
    <row r="112" spans="1:51" ht="14.25" hidden="1">
      <c r="A112" s="40"/>
      <c r="B112" s="12"/>
      <c r="C112" s="12"/>
      <c r="D112" s="455"/>
      <c r="E112" s="455"/>
      <c r="F112" s="455" t="s">
        <v>1694</v>
      </c>
      <c r="G112" s="41"/>
      <c r="H112" s="646"/>
      <c r="I112" s="482"/>
      <c r="J112" s="512"/>
      <c r="K112" s="513"/>
      <c r="L112" s="103"/>
      <c r="M112" s="458"/>
      <c r="N112" s="81"/>
      <c r="O112" s="483"/>
      <c r="P112" s="484"/>
      <c r="Q112" s="484"/>
      <c r="R112" s="484"/>
      <c r="S112" s="485"/>
      <c r="T112" s="486"/>
      <c r="U112" s="514"/>
      <c r="V112" s="514"/>
      <c r="W112" s="514"/>
      <c r="X112" s="514"/>
      <c r="Y112" s="514"/>
      <c r="Z112" s="514"/>
      <c r="AA112" s="514"/>
      <c r="AB112" s="514"/>
      <c r="AC112" s="514"/>
      <c r="AD112" s="514"/>
      <c r="AE112" s="514"/>
      <c r="AF112" s="514"/>
      <c r="AG112" s="514"/>
      <c r="AH112" s="514"/>
      <c r="AI112" s="514"/>
      <c r="AJ112" s="514"/>
      <c r="AK112" s="514"/>
      <c r="AL112" s="514"/>
      <c r="AM112" s="514"/>
      <c r="AN112" s="514"/>
      <c r="AO112" s="514"/>
      <c r="AP112" s="514"/>
      <c r="AQ112" s="514"/>
      <c r="AR112" s="514"/>
      <c r="AS112" s="514"/>
      <c r="AT112" s="515"/>
      <c r="AU112" s="103"/>
      <c r="AV112" s="516"/>
      <c r="AW112" s="515"/>
      <c r="AX112" s="28"/>
      <c r="AY112" s="10"/>
    </row>
    <row r="113" spans="1:51" ht="14.25" hidden="1">
      <c r="A113" s="40"/>
      <c r="B113" s="12"/>
      <c r="C113" s="12"/>
      <c r="D113" s="455"/>
      <c r="E113" s="455"/>
      <c r="F113" s="455" t="s">
        <v>1694</v>
      </c>
      <c r="G113" s="41"/>
      <c r="H113" s="646"/>
      <c r="I113" s="482"/>
      <c r="J113" s="512"/>
      <c r="K113" s="513"/>
      <c r="L113" s="103"/>
      <c r="M113" s="458"/>
      <c r="N113" s="81"/>
      <c r="O113" s="483"/>
      <c r="P113" s="484"/>
      <c r="Q113" s="484"/>
      <c r="R113" s="484"/>
      <c r="S113" s="485"/>
      <c r="T113" s="486"/>
      <c r="U113" s="514"/>
      <c r="V113" s="514"/>
      <c r="W113" s="514"/>
      <c r="X113" s="514"/>
      <c r="Y113" s="514"/>
      <c r="Z113" s="514"/>
      <c r="AA113" s="514"/>
      <c r="AB113" s="514"/>
      <c r="AC113" s="514"/>
      <c r="AD113" s="514"/>
      <c r="AE113" s="514"/>
      <c r="AF113" s="514"/>
      <c r="AG113" s="514"/>
      <c r="AH113" s="514"/>
      <c r="AI113" s="514"/>
      <c r="AJ113" s="514"/>
      <c r="AK113" s="514"/>
      <c r="AL113" s="514"/>
      <c r="AM113" s="514"/>
      <c r="AN113" s="514"/>
      <c r="AO113" s="514"/>
      <c r="AP113" s="514"/>
      <c r="AQ113" s="514"/>
      <c r="AR113" s="514"/>
      <c r="AS113" s="514"/>
      <c r="AT113" s="515"/>
      <c r="AU113" s="103"/>
      <c r="AV113" s="516"/>
      <c r="AW113" s="515"/>
      <c r="AX113" s="28"/>
      <c r="AY113" s="10"/>
    </row>
    <row r="114" spans="1:51" ht="14.25" hidden="1">
      <c r="A114" s="40"/>
      <c r="B114" s="12"/>
      <c r="C114" s="12"/>
      <c r="D114" s="455"/>
      <c r="E114" s="455"/>
      <c r="F114" s="455" t="s">
        <v>1694</v>
      </c>
      <c r="G114" s="41"/>
      <c r="H114" s="646"/>
      <c r="I114" s="482"/>
      <c r="J114" s="512"/>
      <c r="K114" s="513"/>
      <c r="L114" s="103"/>
      <c r="M114" s="458"/>
      <c r="N114" s="81"/>
      <c r="O114" s="483"/>
      <c r="P114" s="484"/>
      <c r="Q114" s="484"/>
      <c r="R114" s="484"/>
      <c r="S114" s="485"/>
      <c r="T114" s="486"/>
      <c r="U114" s="514"/>
      <c r="V114" s="514"/>
      <c r="W114" s="514"/>
      <c r="X114" s="514"/>
      <c r="Y114" s="514"/>
      <c r="Z114" s="514"/>
      <c r="AA114" s="514"/>
      <c r="AB114" s="514"/>
      <c r="AC114" s="514"/>
      <c r="AD114" s="514"/>
      <c r="AE114" s="514"/>
      <c r="AF114" s="514"/>
      <c r="AG114" s="514"/>
      <c r="AH114" s="514"/>
      <c r="AI114" s="514"/>
      <c r="AJ114" s="514"/>
      <c r="AK114" s="514"/>
      <c r="AL114" s="514"/>
      <c r="AM114" s="514"/>
      <c r="AN114" s="514"/>
      <c r="AO114" s="514"/>
      <c r="AP114" s="514"/>
      <c r="AQ114" s="514"/>
      <c r="AR114" s="514"/>
      <c r="AS114" s="514"/>
      <c r="AT114" s="515"/>
      <c r="AU114" s="103"/>
      <c r="AV114" s="516"/>
      <c r="AW114" s="515"/>
      <c r="AX114" s="28"/>
      <c r="AY114" s="10"/>
    </row>
    <row r="115" spans="1:51" ht="14.25" hidden="1">
      <c r="A115" s="40"/>
      <c r="B115" s="12"/>
      <c r="C115" s="12"/>
      <c r="D115" s="455"/>
      <c r="E115" s="455"/>
      <c r="F115" s="455" t="s">
        <v>1694</v>
      </c>
      <c r="G115" s="41"/>
      <c r="H115" s="646"/>
      <c r="I115" s="482"/>
      <c r="J115" s="512"/>
      <c r="K115" s="513"/>
      <c r="L115" s="103"/>
      <c r="M115" s="458"/>
      <c r="N115" s="81"/>
      <c r="O115" s="483"/>
      <c r="P115" s="484"/>
      <c r="Q115" s="484"/>
      <c r="R115" s="484"/>
      <c r="S115" s="485"/>
      <c r="T115" s="486"/>
      <c r="U115" s="514"/>
      <c r="V115" s="514"/>
      <c r="W115" s="514"/>
      <c r="X115" s="514"/>
      <c r="Y115" s="514"/>
      <c r="Z115" s="514"/>
      <c r="AA115" s="514"/>
      <c r="AB115" s="514"/>
      <c r="AC115" s="514"/>
      <c r="AD115" s="514"/>
      <c r="AE115" s="514"/>
      <c r="AF115" s="514"/>
      <c r="AG115" s="514"/>
      <c r="AH115" s="514"/>
      <c r="AI115" s="514"/>
      <c r="AJ115" s="514"/>
      <c r="AK115" s="514"/>
      <c r="AL115" s="514"/>
      <c r="AM115" s="514"/>
      <c r="AN115" s="514"/>
      <c r="AO115" s="514"/>
      <c r="AP115" s="514"/>
      <c r="AQ115" s="514"/>
      <c r="AR115" s="514"/>
      <c r="AS115" s="514"/>
      <c r="AT115" s="515"/>
      <c r="AU115" s="103"/>
      <c r="AV115" s="516"/>
      <c r="AW115" s="515"/>
      <c r="AX115" s="28"/>
      <c r="AY115" s="10"/>
    </row>
    <row r="116" spans="1:51" ht="14.25" hidden="1">
      <c r="A116" s="40"/>
      <c r="B116" s="12"/>
      <c r="C116" s="12"/>
      <c r="D116" s="455"/>
      <c r="E116" s="455"/>
      <c r="F116" s="455" t="s">
        <v>1694</v>
      </c>
      <c r="G116" s="41"/>
      <c r="H116" s="646"/>
      <c r="I116" s="482"/>
      <c r="J116" s="512"/>
      <c r="K116" s="513"/>
      <c r="L116" s="103"/>
      <c r="M116" s="458"/>
      <c r="N116" s="81"/>
      <c r="O116" s="483"/>
      <c r="P116" s="484"/>
      <c r="Q116" s="484"/>
      <c r="R116" s="484"/>
      <c r="S116" s="485"/>
      <c r="T116" s="486"/>
      <c r="U116" s="514"/>
      <c r="V116" s="514"/>
      <c r="W116" s="514"/>
      <c r="X116" s="514"/>
      <c r="Y116" s="514"/>
      <c r="Z116" s="514"/>
      <c r="AA116" s="514"/>
      <c r="AB116" s="514"/>
      <c r="AC116" s="514"/>
      <c r="AD116" s="514"/>
      <c r="AE116" s="514"/>
      <c r="AF116" s="514"/>
      <c r="AG116" s="514"/>
      <c r="AH116" s="514"/>
      <c r="AI116" s="514"/>
      <c r="AJ116" s="514"/>
      <c r="AK116" s="514"/>
      <c r="AL116" s="514"/>
      <c r="AM116" s="514"/>
      <c r="AN116" s="514"/>
      <c r="AO116" s="514"/>
      <c r="AP116" s="514"/>
      <c r="AQ116" s="514"/>
      <c r="AR116" s="514"/>
      <c r="AS116" s="514"/>
      <c r="AT116" s="515"/>
      <c r="AU116" s="103"/>
      <c r="AV116" s="516"/>
      <c r="AW116" s="515"/>
      <c r="AX116" s="28"/>
      <c r="AY116" s="10"/>
    </row>
    <row r="117" spans="1:51" ht="14.25" hidden="1">
      <c r="A117" s="40"/>
      <c r="B117" s="12"/>
      <c r="C117" s="12"/>
      <c r="D117" s="455"/>
      <c r="E117" s="455"/>
      <c r="F117" s="455" t="s">
        <v>1694</v>
      </c>
      <c r="G117" s="41"/>
      <c r="H117" s="646"/>
      <c r="I117" s="482"/>
      <c r="J117" s="512"/>
      <c r="K117" s="513"/>
      <c r="L117" s="103"/>
      <c r="M117" s="458"/>
      <c r="N117" s="81"/>
      <c r="O117" s="483"/>
      <c r="P117" s="484"/>
      <c r="Q117" s="484"/>
      <c r="R117" s="484"/>
      <c r="S117" s="485"/>
      <c r="T117" s="486"/>
      <c r="U117" s="514"/>
      <c r="V117" s="514"/>
      <c r="W117" s="514"/>
      <c r="X117" s="514"/>
      <c r="Y117" s="514"/>
      <c r="Z117" s="514"/>
      <c r="AA117" s="514"/>
      <c r="AB117" s="514"/>
      <c r="AC117" s="514"/>
      <c r="AD117" s="514"/>
      <c r="AE117" s="514"/>
      <c r="AF117" s="514"/>
      <c r="AG117" s="514"/>
      <c r="AH117" s="514"/>
      <c r="AI117" s="514"/>
      <c r="AJ117" s="514"/>
      <c r="AK117" s="514"/>
      <c r="AL117" s="514"/>
      <c r="AM117" s="514"/>
      <c r="AN117" s="514"/>
      <c r="AO117" s="514"/>
      <c r="AP117" s="514"/>
      <c r="AQ117" s="514"/>
      <c r="AR117" s="514"/>
      <c r="AS117" s="514"/>
      <c r="AT117" s="515"/>
      <c r="AU117" s="103"/>
      <c r="AV117" s="516"/>
      <c r="AW117" s="515"/>
      <c r="AX117" s="28"/>
      <c r="AY117" s="10"/>
    </row>
    <row r="118" spans="1:51" ht="14.25" hidden="1">
      <c r="A118" s="40"/>
      <c r="B118" s="12"/>
      <c r="C118" s="12"/>
      <c r="D118" s="455"/>
      <c r="E118" s="455"/>
      <c r="F118" s="455" t="s">
        <v>1694</v>
      </c>
      <c r="G118" s="41"/>
      <c r="H118" s="646"/>
      <c r="I118" s="482"/>
      <c r="J118" s="512"/>
      <c r="K118" s="513"/>
      <c r="L118" s="103"/>
      <c r="M118" s="458"/>
      <c r="N118" s="81"/>
      <c r="O118" s="483"/>
      <c r="P118" s="484"/>
      <c r="Q118" s="484"/>
      <c r="R118" s="484"/>
      <c r="S118" s="485"/>
      <c r="T118" s="486"/>
      <c r="U118" s="514"/>
      <c r="V118" s="514"/>
      <c r="W118" s="514"/>
      <c r="X118" s="514"/>
      <c r="Y118" s="514"/>
      <c r="Z118" s="514"/>
      <c r="AA118" s="514"/>
      <c r="AB118" s="514"/>
      <c r="AC118" s="514"/>
      <c r="AD118" s="514"/>
      <c r="AE118" s="514"/>
      <c r="AF118" s="514"/>
      <c r="AG118" s="514"/>
      <c r="AH118" s="514"/>
      <c r="AI118" s="514"/>
      <c r="AJ118" s="514"/>
      <c r="AK118" s="514"/>
      <c r="AL118" s="514"/>
      <c r="AM118" s="514"/>
      <c r="AN118" s="514"/>
      <c r="AO118" s="514"/>
      <c r="AP118" s="514"/>
      <c r="AQ118" s="514"/>
      <c r="AR118" s="514"/>
      <c r="AS118" s="514"/>
      <c r="AT118" s="515"/>
      <c r="AU118" s="103"/>
      <c r="AV118" s="516"/>
      <c r="AW118" s="515"/>
      <c r="AX118" s="28"/>
      <c r="AY118" s="10"/>
    </row>
    <row r="119" spans="1:51" ht="14.25" hidden="1">
      <c r="A119" s="40"/>
      <c r="B119" s="12"/>
      <c r="C119" s="12"/>
      <c r="D119" s="455"/>
      <c r="E119" s="455"/>
      <c r="F119" s="455" t="s">
        <v>1694</v>
      </c>
      <c r="G119" s="41"/>
      <c r="H119" s="646"/>
      <c r="I119" s="482"/>
      <c r="J119" s="512"/>
      <c r="K119" s="513"/>
      <c r="L119" s="103"/>
      <c r="M119" s="458"/>
      <c r="N119" s="81"/>
      <c r="O119" s="483"/>
      <c r="P119" s="484"/>
      <c r="Q119" s="484"/>
      <c r="R119" s="484"/>
      <c r="S119" s="485"/>
      <c r="T119" s="486"/>
      <c r="U119" s="514"/>
      <c r="V119" s="514"/>
      <c r="W119" s="514"/>
      <c r="X119" s="514"/>
      <c r="Y119" s="514"/>
      <c r="Z119" s="514"/>
      <c r="AA119" s="514"/>
      <c r="AB119" s="514"/>
      <c r="AC119" s="514"/>
      <c r="AD119" s="514"/>
      <c r="AE119" s="514"/>
      <c r="AF119" s="514"/>
      <c r="AG119" s="514"/>
      <c r="AH119" s="514"/>
      <c r="AI119" s="514"/>
      <c r="AJ119" s="514"/>
      <c r="AK119" s="514"/>
      <c r="AL119" s="514"/>
      <c r="AM119" s="514"/>
      <c r="AN119" s="514"/>
      <c r="AO119" s="514"/>
      <c r="AP119" s="514"/>
      <c r="AQ119" s="514"/>
      <c r="AR119" s="514"/>
      <c r="AS119" s="514"/>
      <c r="AT119" s="515"/>
      <c r="AU119" s="103"/>
      <c r="AV119" s="516"/>
      <c r="AW119" s="515"/>
      <c r="AX119" s="28"/>
      <c r="AY119" s="10"/>
    </row>
    <row r="120" spans="1:51" ht="14.25" hidden="1">
      <c r="A120" s="40"/>
      <c r="B120" s="12"/>
      <c r="C120" s="12"/>
      <c r="D120" s="455"/>
      <c r="E120" s="455"/>
      <c r="F120" s="455" t="s">
        <v>1694</v>
      </c>
      <c r="G120" s="41"/>
      <c r="H120" s="646"/>
      <c r="I120" s="482"/>
      <c r="J120" s="512"/>
      <c r="K120" s="513"/>
      <c r="L120" s="103"/>
      <c r="M120" s="458"/>
      <c r="N120" s="81"/>
      <c r="O120" s="483"/>
      <c r="P120" s="484"/>
      <c r="Q120" s="484"/>
      <c r="R120" s="484"/>
      <c r="S120" s="485"/>
      <c r="T120" s="486"/>
      <c r="U120" s="514"/>
      <c r="V120" s="514"/>
      <c r="W120" s="514"/>
      <c r="X120" s="514"/>
      <c r="Y120" s="514"/>
      <c r="Z120" s="514"/>
      <c r="AA120" s="514"/>
      <c r="AB120" s="514"/>
      <c r="AC120" s="514"/>
      <c r="AD120" s="514"/>
      <c r="AE120" s="514"/>
      <c r="AF120" s="514"/>
      <c r="AG120" s="514"/>
      <c r="AH120" s="514"/>
      <c r="AI120" s="514"/>
      <c r="AJ120" s="514"/>
      <c r="AK120" s="514"/>
      <c r="AL120" s="514"/>
      <c r="AM120" s="514"/>
      <c r="AN120" s="514"/>
      <c r="AO120" s="514"/>
      <c r="AP120" s="514"/>
      <c r="AQ120" s="514"/>
      <c r="AR120" s="514"/>
      <c r="AS120" s="514"/>
      <c r="AT120" s="515"/>
      <c r="AU120" s="103"/>
      <c r="AV120" s="516"/>
      <c r="AW120" s="515"/>
      <c r="AX120" s="28"/>
      <c r="AY120" s="10"/>
    </row>
    <row r="121" spans="1:51" ht="14.25" hidden="1">
      <c r="A121" s="40"/>
      <c r="B121" s="12"/>
      <c r="C121" s="12"/>
      <c r="D121" s="455"/>
      <c r="E121" s="455"/>
      <c r="F121" s="455" t="s">
        <v>1694</v>
      </c>
      <c r="G121" s="41"/>
      <c r="H121" s="646"/>
      <c r="I121" s="482"/>
      <c r="J121" s="512"/>
      <c r="K121" s="513"/>
      <c r="L121" s="103"/>
      <c r="M121" s="458"/>
      <c r="N121" s="81"/>
      <c r="O121" s="483"/>
      <c r="P121" s="484"/>
      <c r="Q121" s="484"/>
      <c r="R121" s="484"/>
      <c r="S121" s="485"/>
      <c r="T121" s="486"/>
      <c r="U121" s="514"/>
      <c r="V121" s="514"/>
      <c r="W121" s="514"/>
      <c r="X121" s="514"/>
      <c r="Y121" s="514"/>
      <c r="Z121" s="514"/>
      <c r="AA121" s="514"/>
      <c r="AB121" s="514"/>
      <c r="AC121" s="514"/>
      <c r="AD121" s="514"/>
      <c r="AE121" s="514"/>
      <c r="AF121" s="514"/>
      <c r="AG121" s="514"/>
      <c r="AH121" s="514"/>
      <c r="AI121" s="514"/>
      <c r="AJ121" s="514"/>
      <c r="AK121" s="514"/>
      <c r="AL121" s="514"/>
      <c r="AM121" s="514"/>
      <c r="AN121" s="514"/>
      <c r="AO121" s="514"/>
      <c r="AP121" s="514"/>
      <c r="AQ121" s="514"/>
      <c r="AR121" s="514"/>
      <c r="AS121" s="514"/>
      <c r="AT121" s="515"/>
      <c r="AU121" s="103"/>
      <c r="AV121" s="516"/>
      <c r="AW121" s="515"/>
      <c r="AX121" s="28"/>
      <c r="AY121" s="10"/>
    </row>
    <row r="122" spans="1:51" ht="14.25">
      <c r="A122" s="40"/>
      <c r="B122" s="12"/>
      <c r="C122" s="12"/>
      <c r="D122" s="455"/>
      <c r="E122" s="455"/>
      <c r="F122" s="455" t="s">
        <v>1694</v>
      </c>
      <c r="G122" s="41"/>
      <c r="H122" s="646"/>
      <c r="I122" s="482"/>
      <c r="J122" s="512"/>
      <c r="K122" s="513"/>
      <c r="L122" s="103"/>
      <c r="M122" s="458"/>
      <c r="N122" s="81"/>
      <c r="O122" s="483"/>
      <c r="P122" s="484"/>
      <c r="Q122" s="484"/>
      <c r="R122" s="484"/>
      <c r="S122" s="485"/>
      <c r="T122" s="486"/>
      <c r="U122" s="514"/>
      <c r="V122" s="514"/>
      <c r="W122" s="514"/>
      <c r="X122" s="514"/>
      <c r="Y122" s="514"/>
      <c r="Z122" s="514"/>
      <c r="AA122" s="514"/>
      <c r="AB122" s="514"/>
      <c r="AC122" s="514"/>
      <c r="AD122" s="514"/>
      <c r="AE122" s="514"/>
      <c r="AF122" s="514"/>
      <c r="AG122" s="514"/>
      <c r="AH122" s="514"/>
      <c r="AI122" s="514"/>
      <c r="AJ122" s="514"/>
      <c r="AK122" s="514"/>
      <c r="AL122" s="514"/>
      <c r="AM122" s="514"/>
      <c r="AN122" s="514"/>
      <c r="AO122" s="514"/>
      <c r="AP122" s="514"/>
      <c r="AQ122" s="514"/>
      <c r="AR122" s="514"/>
      <c r="AS122" s="514"/>
      <c r="AT122" s="515"/>
      <c r="AU122" s="103"/>
      <c r="AV122" s="516"/>
      <c r="AW122" s="515"/>
      <c r="AX122" s="28"/>
      <c r="AY122" s="10"/>
    </row>
    <row r="123" spans="1:51" ht="14.25">
      <c r="A123" s="40"/>
      <c r="B123" s="12"/>
      <c r="C123" s="12"/>
      <c r="D123" s="455"/>
      <c r="E123" s="455"/>
      <c r="F123" s="455" t="s">
        <v>1694</v>
      </c>
      <c r="G123" s="41"/>
      <c r="H123" s="646"/>
      <c r="I123" s="482"/>
      <c r="J123" s="512"/>
      <c r="K123" s="513"/>
      <c r="L123" s="103"/>
      <c r="M123" s="458"/>
      <c r="N123" s="81"/>
      <c r="O123" s="483"/>
      <c r="P123" s="484"/>
      <c r="Q123" s="484"/>
      <c r="R123" s="484"/>
      <c r="S123" s="485"/>
      <c r="T123" s="486"/>
      <c r="U123" s="514"/>
      <c r="V123" s="514"/>
      <c r="W123" s="514"/>
      <c r="X123" s="514"/>
      <c r="Y123" s="514"/>
      <c r="Z123" s="514"/>
      <c r="AA123" s="514"/>
      <c r="AB123" s="514"/>
      <c r="AC123" s="514"/>
      <c r="AD123" s="514"/>
      <c r="AE123" s="514"/>
      <c r="AF123" s="514"/>
      <c r="AG123" s="514"/>
      <c r="AH123" s="514"/>
      <c r="AI123" s="514"/>
      <c r="AJ123" s="514"/>
      <c r="AK123" s="514"/>
      <c r="AL123" s="514"/>
      <c r="AM123" s="514"/>
      <c r="AN123" s="514"/>
      <c r="AO123" s="514"/>
      <c r="AP123" s="514"/>
      <c r="AQ123" s="514"/>
      <c r="AR123" s="514"/>
      <c r="AS123" s="514"/>
      <c r="AT123" s="515"/>
      <c r="AU123" s="103"/>
      <c r="AV123" s="516"/>
      <c r="AW123" s="515"/>
      <c r="AX123" s="28"/>
      <c r="AY123" s="10"/>
    </row>
    <row r="124" spans="1:51" ht="14.25">
      <c r="A124" s="40"/>
      <c r="B124" s="12"/>
      <c r="C124" s="12"/>
      <c r="D124" s="455"/>
      <c r="E124" s="455"/>
      <c r="F124" s="455" t="s">
        <v>1694</v>
      </c>
      <c r="G124" s="41"/>
      <c r="H124" s="646"/>
      <c r="I124" s="482"/>
      <c r="J124" s="512"/>
      <c r="K124" s="513"/>
      <c r="L124" s="103"/>
      <c r="M124" s="458"/>
      <c r="N124" s="81"/>
      <c r="O124" s="483"/>
      <c r="P124" s="484"/>
      <c r="Q124" s="484"/>
      <c r="R124" s="484"/>
      <c r="S124" s="485"/>
      <c r="T124" s="486"/>
      <c r="U124" s="514"/>
      <c r="V124" s="514"/>
      <c r="W124" s="514"/>
      <c r="X124" s="514"/>
      <c r="Y124" s="514"/>
      <c r="Z124" s="514"/>
      <c r="AA124" s="514"/>
      <c r="AB124" s="514"/>
      <c r="AC124" s="514"/>
      <c r="AD124" s="514"/>
      <c r="AE124" s="514"/>
      <c r="AF124" s="514"/>
      <c r="AG124" s="514"/>
      <c r="AH124" s="514"/>
      <c r="AI124" s="514"/>
      <c r="AJ124" s="514"/>
      <c r="AK124" s="514"/>
      <c r="AL124" s="514"/>
      <c r="AM124" s="514"/>
      <c r="AN124" s="514"/>
      <c r="AO124" s="514"/>
      <c r="AP124" s="514"/>
      <c r="AQ124" s="514"/>
      <c r="AR124" s="514"/>
      <c r="AS124" s="514"/>
      <c r="AT124" s="515"/>
      <c r="AU124" s="103"/>
      <c r="AV124" s="516"/>
      <c r="AW124" s="515"/>
      <c r="AX124" s="28"/>
      <c r="AY124" s="10"/>
    </row>
    <row r="125" spans="1:51" ht="14.25">
      <c r="A125" s="40"/>
      <c r="B125" s="12"/>
      <c r="C125" s="12"/>
      <c r="D125" s="455"/>
      <c r="E125" s="455"/>
      <c r="F125" s="455" t="s">
        <v>1694</v>
      </c>
      <c r="G125" s="41"/>
      <c r="H125" s="646"/>
      <c r="I125" s="482"/>
      <c r="J125" s="512"/>
      <c r="K125" s="513"/>
      <c r="L125" s="103"/>
      <c r="M125" s="458"/>
      <c r="N125" s="81"/>
      <c r="O125" s="483"/>
      <c r="P125" s="484"/>
      <c r="Q125" s="484"/>
      <c r="R125" s="484"/>
      <c r="S125" s="485"/>
      <c r="T125" s="486"/>
      <c r="U125" s="514"/>
      <c r="V125" s="514"/>
      <c r="W125" s="514"/>
      <c r="X125" s="514"/>
      <c r="Y125" s="514"/>
      <c r="Z125" s="514"/>
      <c r="AA125" s="514"/>
      <c r="AB125" s="514"/>
      <c r="AC125" s="514"/>
      <c r="AD125" s="514"/>
      <c r="AE125" s="514"/>
      <c r="AF125" s="514"/>
      <c r="AG125" s="514"/>
      <c r="AH125" s="514"/>
      <c r="AI125" s="514"/>
      <c r="AJ125" s="514"/>
      <c r="AK125" s="514"/>
      <c r="AL125" s="514"/>
      <c r="AM125" s="514"/>
      <c r="AN125" s="514"/>
      <c r="AO125" s="514"/>
      <c r="AP125" s="514"/>
      <c r="AQ125" s="514"/>
      <c r="AR125" s="514"/>
      <c r="AS125" s="514"/>
      <c r="AT125" s="515"/>
      <c r="AU125" s="103"/>
      <c r="AV125" s="516"/>
      <c r="AW125" s="515"/>
      <c r="AX125" s="28"/>
      <c r="AY125" s="10"/>
    </row>
    <row r="126" spans="1:51" ht="14.25">
      <c r="A126" s="40"/>
      <c r="B126" s="12"/>
      <c r="C126" s="12"/>
      <c r="D126" s="455"/>
      <c r="E126" s="455"/>
      <c r="F126" s="455" t="s">
        <v>1694</v>
      </c>
      <c r="G126" s="41"/>
      <c r="H126" s="646"/>
      <c r="I126" s="482"/>
      <c r="J126" s="512"/>
      <c r="K126" s="513"/>
      <c r="L126" s="103"/>
      <c r="M126" s="458"/>
      <c r="N126" s="81"/>
      <c r="O126" s="483"/>
      <c r="P126" s="484"/>
      <c r="Q126" s="484"/>
      <c r="R126" s="484"/>
      <c r="S126" s="485"/>
      <c r="T126" s="486"/>
      <c r="U126" s="514"/>
      <c r="V126" s="514"/>
      <c r="W126" s="514"/>
      <c r="X126" s="514"/>
      <c r="Y126" s="514"/>
      <c r="Z126" s="514"/>
      <c r="AA126" s="514"/>
      <c r="AB126" s="514"/>
      <c r="AC126" s="514"/>
      <c r="AD126" s="514"/>
      <c r="AE126" s="514"/>
      <c r="AF126" s="514"/>
      <c r="AG126" s="514"/>
      <c r="AH126" s="514"/>
      <c r="AI126" s="514"/>
      <c r="AJ126" s="514"/>
      <c r="AK126" s="514"/>
      <c r="AL126" s="514"/>
      <c r="AM126" s="514"/>
      <c r="AN126" s="514"/>
      <c r="AO126" s="514"/>
      <c r="AP126" s="514"/>
      <c r="AQ126" s="514"/>
      <c r="AR126" s="514"/>
      <c r="AS126" s="514"/>
      <c r="AT126" s="515"/>
      <c r="AU126" s="103"/>
      <c r="AV126" s="516"/>
      <c r="AW126" s="515"/>
      <c r="AX126" s="28"/>
      <c r="AY126" s="10"/>
    </row>
    <row r="127" spans="1:51" ht="14.25">
      <c r="A127" s="40"/>
      <c r="B127" s="12"/>
      <c r="C127" s="12"/>
      <c r="D127" s="455"/>
      <c r="E127" s="455"/>
      <c r="F127" s="455" t="s">
        <v>1694</v>
      </c>
      <c r="G127" s="41"/>
      <c r="H127" s="646"/>
      <c r="I127" s="482"/>
      <c r="J127" s="512"/>
      <c r="K127" s="513"/>
      <c r="L127" s="103"/>
      <c r="M127" s="458"/>
      <c r="N127" s="81"/>
      <c r="O127" s="483"/>
      <c r="P127" s="484"/>
      <c r="Q127" s="484"/>
      <c r="R127" s="484"/>
      <c r="S127" s="485"/>
      <c r="T127" s="486"/>
      <c r="U127" s="514"/>
      <c r="V127" s="514"/>
      <c r="W127" s="514"/>
      <c r="X127" s="514"/>
      <c r="Y127" s="514"/>
      <c r="Z127" s="514"/>
      <c r="AA127" s="514"/>
      <c r="AB127" s="514"/>
      <c r="AC127" s="514"/>
      <c r="AD127" s="514"/>
      <c r="AE127" s="514"/>
      <c r="AF127" s="514"/>
      <c r="AG127" s="514"/>
      <c r="AH127" s="514"/>
      <c r="AI127" s="514"/>
      <c r="AJ127" s="514"/>
      <c r="AK127" s="514"/>
      <c r="AL127" s="514"/>
      <c r="AM127" s="514"/>
      <c r="AN127" s="514"/>
      <c r="AO127" s="514"/>
      <c r="AP127" s="514"/>
      <c r="AQ127" s="514"/>
      <c r="AR127" s="514"/>
      <c r="AS127" s="514"/>
      <c r="AT127" s="515"/>
      <c r="AU127" s="103"/>
      <c r="AV127" s="516"/>
      <c r="AW127" s="515"/>
      <c r="AX127" s="28"/>
      <c r="AY127" s="10"/>
    </row>
    <row r="128" spans="1:51" ht="14.25">
      <c r="A128" s="40"/>
      <c r="B128" s="12"/>
      <c r="C128" s="12"/>
      <c r="D128" s="455"/>
      <c r="E128" s="455"/>
      <c r="F128" s="455" t="s">
        <v>1694</v>
      </c>
      <c r="G128" s="41"/>
      <c r="H128" s="646"/>
      <c r="I128" s="482"/>
      <c r="J128" s="512"/>
      <c r="K128" s="513"/>
      <c r="L128" s="103"/>
      <c r="M128" s="458"/>
      <c r="N128" s="81"/>
      <c r="O128" s="483"/>
      <c r="P128" s="484"/>
      <c r="Q128" s="484"/>
      <c r="R128" s="484"/>
      <c r="S128" s="485"/>
      <c r="T128" s="486"/>
      <c r="U128" s="514"/>
      <c r="V128" s="514"/>
      <c r="W128" s="514"/>
      <c r="X128" s="514"/>
      <c r="Y128" s="514"/>
      <c r="Z128" s="514"/>
      <c r="AA128" s="514"/>
      <c r="AB128" s="514"/>
      <c r="AC128" s="514"/>
      <c r="AD128" s="514"/>
      <c r="AE128" s="514"/>
      <c r="AF128" s="514"/>
      <c r="AG128" s="514"/>
      <c r="AH128" s="514"/>
      <c r="AI128" s="514"/>
      <c r="AJ128" s="514"/>
      <c r="AK128" s="514"/>
      <c r="AL128" s="514"/>
      <c r="AM128" s="514"/>
      <c r="AN128" s="514"/>
      <c r="AO128" s="514"/>
      <c r="AP128" s="514"/>
      <c r="AQ128" s="514"/>
      <c r="AR128" s="514"/>
      <c r="AS128" s="514"/>
      <c r="AT128" s="515"/>
      <c r="AU128" s="103"/>
      <c r="AV128" s="516"/>
      <c r="AW128" s="515"/>
      <c r="AX128" s="28"/>
      <c r="AY128" s="10"/>
    </row>
    <row r="129" spans="1:51" ht="14.25">
      <c r="A129" s="40"/>
      <c r="B129" s="12"/>
      <c r="C129" s="12"/>
      <c r="D129" s="455"/>
      <c r="E129" s="455"/>
      <c r="F129" s="455" t="s">
        <v>1694</v>
      </c>
      <c r="G129" s="41"/>
      <c r="H129" s="646"/>
      <c r="I129" s="482"/>
      <c r="J129" s="512"/>
      <c r="K129" s="513"/>
      <c r="L129" s="103"/>
      <c r="M129" s="458"/>
      <c r="N129" s="81"/>
      <c r="O129" s="483"/>
      <c r="P129" s="484"/>
      <c r="Q129" s="484"/>
      <c r="R129" s="484"/>
      <c r="S129" s="485"/>
      <c r="T129" s="486"/>
      <c r="U129" s="514"/>
      <c r="V129" s="514"/>
      <c r="W129" s="514"/>
      <c r="X129" s="514"/>
      <c r="Y129" s="514"/>
      <c r="Z129" s="514"/>
      <c r="AA129" s="514"/>
      <c r="AB129" s="514"/>
      <c r="AC129" s="514"/>
      <c r="AD129" s="514"/>
      <c r="AE129" s="514"/>
      <c r="AF129" s="514"/>
      <c r="AG129" s="514"/>
      <c r="AH129" s="514"/>
      <c r="AI129" s="514"/>
      <c r="AJ129" s="514"/>
      <c r="AK129" s="514"/>
      <c r="AL129" s="514"/>
      <c r="AM129" s="514"/>
      <c r="AN129" s="514"/>
      <c r="AO129" s="514"/>
      <c r="AP129" s="514"/>
      <c r="AQ129" s="514"/>
      <c r="AR129" s="514"/>
      <c r="AS129" s="514"/>
      <c r="AT129" s="515"/>
      <c r="AU129" s="103"/>
      <c r="AV129" s="516"/>
      <c r="AW129" s="515"/>
      <c r="AX129" s="28"/>
      <c r="AY129" s="10"/>
    </row>
    <row r="130" spans="1:51" ht="14.25" hidden="1">
      <c r="A130" s="40"/>
      <c r="B130" s="12"/>
      <c r="C130" s="12"/>
      <c r="D130" s="455"/>
      <c r="E130" s="455"/>
      <c r="F130" s="455" t="s">
        <v>1694</v>
      </c>
      <c r="G130" s="41"/>
      <c r="H130" s="646"/>
      <c r="I130" s="482"/>
      <c r="J130" s="512"/>
      <c r="K130" s="513"/>
      <c r="L130" s="103"/>
      <c r="M130" s="458"/>
      <c r="N130" s="81"/>
      <c r="O130" s="483"/>
      <c r="P130" s="484"/>
      <c r="Q130" s="484"/>
      <c r="R130" s="484"/>
      <c r="S130" s="485"/>
      <c r="T130" s="486"/>
      <c r="U130" s="514"/>
      <c r="V130" s="514"/>
      <c r="W130" s="514"/>
      <c r="X130" s="514"/>
      <c r="Y130" s="514"/>
      <c r="Z130" s="514"/>
      <c r="AA130" s="514"/>
      <c r="AB130" s="514"/>
      <c r="AC130" s="514"/>
      <c r="AD130" s="514"/>
      <c r="AE130" s="514"/>
      <c r="AF130" s="514"/>
      <c r="AG130" s="514"/>
      <c r="AH130" s="514"/>
      <c r="AI130" s="514"/>
      <c r="AJ130" s="514"/>
      <c r="AK130" s="514"/>
      <c r="AL130" s="514"/>
      <c r="AM130" s="514"/>
      <c r="AN130" s="514"/>
      <c r="AO130" s="514"/>
      <c r="AP130" s="514"/>
      <c r="AQ130" s="514"/>
      <c r="AR130" s="514"/>
      <c r="AS130" s="514"/>
      <c r="AT130" s="515"/>
      <c r="AU130" s="103"/>
      <c r="AV130" s="516"/>
      <c r="AW130" s="515"/>
      <c r="AX130" s="28"/>
      <c r="AY130" s="10"/>
    </row>
    <row r="131" spans="1:51" ht="14.25" hidden="1">
      <c r="A131" s="40"/>
      <c r="B131" s="12"/>
      <c r="C131" s="12"/>
      <c r="D131" s="455"/>
      <c r="E131" s="455"/>
      <c r="F131" s="455" t="s">
        <v>1694</v>
      </c>
      <c r="G131" s="41"/>
      <c r="H131" s="646"/>
      <c r="I131" s="482"/>
      <c r="J131" s="512"/>
      <c r="K131" s="513"/>
      <c r="L131" s="103"/>
      <c r="M131" s="458"/>
      <c r="N131" s="81"/>
      <c r="O131" s="483"/>
      <c r="P131" s="484"/>
      <c r="Q131" s="484"/>
      <c r="R131" s="484"/>
      <c r="S131" s="485"/>
      <c r="T131" s="486"/>
      <c r="U131" s="514"/>
      <c r="V131" s="514"/>
      <c r="W131" s="514"/>
      <c r="X131" s="514"/>
      <c r="Y131" s="514"/>
      <c r="Z131" s="514"/>
      <c r="AA131" s="514"/>
      <c r="AB131" s="514"/>
      <c r="AC131" s="514"/>
      <c r="AD131" s="514"/>
      <c r="AE131" s="514"/>
      <c r="AF131" s="514"/>
      <c r="AG131" s="514"/>
      <c r="AH131" s="514"/>
      <c r="AI131" s="514"/>
      <c r="AJ131" s="514"/>
      <c r="AK131" s="514"/>
      <c r="AL131" s="514"/>
      <c r="AM131" s="514"/>
      <c r="AN131" s="514"/>
      <c r="AO131" s="514"/>
      <c r="AP131" s="514"/>
      <c r="AQ131" s="514"/>
      <c r="AR131" s="514"/>
      <c r="AS131" s="514"/>
      <c r="AT131" s="515"/>
      <c r="AU131" s="103"/>
      <c r="AV131" s="516"/>
      <c r="AW131" s="515"/>
      <c r="AX131" s="28"/>
      <c r="AY131" s="10"/>
    </row>
    <row r="132" spans="1:51" ht="14.25" hidden="1">
      <c r="A132" s="40"/>
      <c r="B132" s="12"/>
      <c r="C132" s="12"/>
      <c r="D132" s="455"/>
      <c r="E132" s="455"/>
      <c r="F132" s="455" t="s">
        <v>1694</v>
      </c>
      <c r="G132" s="41"/>
      <c r="H132" s="646"/>
      <c r="I132" s="482"/>
      <c r="J132" s="512"/>
      <c r="K132" s="513"/>
      <c r="L132" s="103"/>
      <c r="M132" s="458"/>
      <c r="N132" s="81"/>
      <c r="O132" s="483"/>
      <c r="P132" s="484"/>
      <c r="Q132" s="484"/>
      <c r="R132" s="484"/>
      <c r="S132" s="485"/>
      <c r="T132" s="486"/>
      <c r="U132" s="514"/>
      <c r="V132" s="514"/>
      <c r="W132" s="514"/>
      <c r="X132" s="514"/>
      <c r="Y132" s="514"/>
      <c r="Z132" s="514"/>
      <c r="AA132" s="514"/>
      <c r="AB132" s="514"/>
      <c r="AC132" s="514"/>
      <c r="AD132" s="514"/>
      <c r="AE132" s="514"/>
      <c r="AF132" s="514"/>
      <c r="AG132" s="514"/>
      <c r="AH132" s="514"/>
      <c r="AI132" s="514"/>
      <c r="AJ132" s="514"/>
      <c r="AK132" s="514"/>
      <c r="AL132" s="514"/>
      <c r="AM132" s="514"/>
      <c r="AN132" s="514"/>
      <c r="AO132" s="514"/>
      <c r="AP132" s="514"/>
      <c r="AQ132" s="514"/>
      <c r="AR132" s="514"/>
      <c r="AS132" s="514"/>
      <c r="AT132" s="515"/>
      <c r="AU132" s="103"/>
      <c r="AV132" s="516"/>
      <c r="AW132" s="515"/>
      <c r="AX132" s="28"/>
      <c r="AY132" s="10"/>
    </row>
    <row r="133" spans="1:51" ht="14.25" hidden="1">
      <c r="A133" s="40"/>
      <c r="B133" s="12"/>
      <c r="C133" s="12"/>
      <c r="D133" s="455"/>
      <c r="E133" s="455"/>
      <c r="F133" s="455" t="s">
        <v>1694</v>
      </c>
      <c r="G133" s="41"/>
      <c r="H133" s="646"/>
      <c r="I133" s="482"/>
      <c r="J133" s="512"/>
      <c r="K133" s="513"/>
      <c r="L133" s="103"/>
      <c r="M133" s="458"/>
      <c r="N133" s="81"/>
      <c r="O133" s="483"/>
      <c r="P133" s="484"/>
      <c r="Q133" s="484"/>
      <c r="R133" s="484"/>
      <c r="S133" s="485"/>
      <c r="T133" s="486"/>
      <c r="U133" s="514"/>
      <c r="V133" s="514"/>
      <c r="W133" s="514"/>
      <c r="X133" s="514"/>
      <c r="Y133" s="514"/>
      <c r="Z133" s="514"/>
      <c r="AA133" s="514"/>
      <c r="AB133" s="514"/>
      <c r="AC133" s="514"/>
      <c r="AD133" s="514"/>
      <c r="AE133" s="514"/>
      <c r="AF133" s="514"/>
      <c r="AG133" s="514"/>
      <c r="AH133" s="514"/>
      <c r="AI133" s="514"/>
      <c r="AJ133" s="514"/>
      <c r="AK133" s="514"/>
      <c r="AL133" s="514"/>
      <c r="AM133" s="514"/>
      <c r="AN133" s="514"/>
      <c r="AO133" s="514"/>
      <c r="AP133" s="514"/>
      <c r="AQ133" s="514"/>
      <c r="AR133" s="514"/>
      <c r="AS133" s="514"/>
      <c r="AT133" s="515"/>
      <c r="AU133" s="103"/>
      <c r="AV133" s="516"/>
      <c r="AW133" s="515"/>
      <c r="AX133" s="28"/>
      <c r="AY133" s="10"/>
    </row>
    <row r="134" spans="1:51" ht="14.25" hidden="1">
      <c r="A134" s="40"/>
      <c r="B134" s="12"/>
      <c r="C134" s="12"/>
      <c r="D134" s="455"/>
      <c r="E134" s="455"/>
      <c r="F134" s="455" t="s">
        <v>1694</v>
      </c>
      <c r="G134" s="41"/>
      <c r="H134" s="646"/>
      <c r="I134" s="482"/>
      <c r="J134" s="512"/>
      <c r="K134" s="513"/>
      <c r="L134" s="103"/>
      <c r="M134" s="458"/>
      <c r="N134" s="81"/>
      <c r="O134" s="483"/>
      <c r="P134" s="484"/>
      <c r="Q134" s="484"/>
      <c r="R134" s="484"/>
      <c r="S134" s="485"/>
      <c r="T134" s="486"/>
      <c r="U134" s="514"/>
      <c r="V134" s="514"/>
      <c r="W134" s="514"/>
      <c r="X134" s="514"/>
      <c r="Y134" s="514"/>
      <c r="Z134" s="514"/>
      <c r="AA134" s="514"/>
      <c r="AB134" s="514"/>
      <c r="AC134" s="514"/>
      <c r="AD134" s="514"/>
      <c r="AE134" s="514"/>
      <c r="AF134" s="514"/>
      <c r="AG134" s="514"/>
      <c r="AH134" s="514"/>
      <c r="AI134" s="514"/>
      <c r="AJ134" s="514"/>
      <c r="AK134" s="514"/>
      <c r="AL134" s="514"/>
      <c r="AM134" s="514"/>
      <c r="AN134" s="514"/>
      <c r="AO134" s="514"/>
      <c r="AP134" s="514"/>
      <c r="AQ134" s="514"/>
      <c r="AR134" s="514"/>
      <c r="AS134" s="514"/>
      <c r="AT134" s="515"/>
      <c r="AU134" s="103"/>
      <c r="AV134" s="516"/>
      <c r="AW134" s="515"/>
      <c r="AX134" s="28"/>
      <c r="AY134" s="10"/>
    </row>
    <row r="135" spans="1:51" ht="14.25" hidden="1">
      <c r="A135" s="40"/>
      <c r="B135" s="12"/>
      <c r="C135" s="12"/>
      <c r="D135" s="455"/>
      <c r="E135" s="455"/>
      <c r="F135" s="455" t="s">
        <v>1694</v>
      </c>
      <c r="G135" s="41"/>
      <c r="H135" s="646"/>
      <c r="I135" s="482"/>
      <c r="J135" s="512"/>
      <c r="K135" s="513"/>
      <c r="L135" s="103"/>
      <c r="M135" s="458"/>
      <c r="N135" s="81"/>
      <c r="O135" s="483"/>
      <c r="P135" s="484"/>
      <c r="Q135" s="484"/>
      <c r="R135" s="484"/>
      <c r="S135" s="485"/>
      <c r="T135" s="486"/>
      <c r="U135" s="514"/>
      <c r="V135" s="514"/>
      <c r="W135" s="514"/>
      <c r="X135" s="514"/>
      <c r="Y135" s="514"/>
      <c r="Z135" s="514"/>
      <c r="AA135" s="514"/>
      <c r="AB135" s="514"/>
      <c r="AC135" s="514"/>
      <c r="AD135" s="514"/>
      <c r="AE135" s="514"/>
      <c r="AF135" s="514"/>
      <c r="AG135" s="514"/>
      <c r="AH135" s="514"/>
      <c r="AI135" s="514"/>
      <c r="AJ135" s="514"/>
      <c r="AK135" s="514"/>
      <c r="AL135" s="514"/>
      <c r="AM135" s="514"/>
      <c r="AN135" s="514"/>
      <c r="AO135" s="514"/>
      <c r="AP135" s="514"/>
      <c r="AQ135" s="514"/>
      <c r="AR135" s="514"/>
      <c r="AS135" s="514"/>
      <c r="AT135" s="515"/>
      <c r="AU135" s="103"/>
      <c r="AV135" s="516"/>
      <c r="AW135" s="515"/>
      <c r="AX135" s="28"/>
      <c r="AY135" s="10"/>
    </row>
    <row r="136" spans="1:51" ht="14.25">
      <c r="A136" s="45"/>
      <c r="B136" s="46"/>
      <c r="C136" s="46"/>
      <c r="D136" s="476"/>
      <c r="E136" s="476"/>
      <c r="F136" s="476" t="s">
        <v>1694</v>
      </c>
      <c r="G136" s="47"/>
      <c r="H136" s="646"/>
      <c r="I136" s="489"/>
      <c r="J136" s="517"/>
      <c r="K136" s="518"/>
      <c r="L136" s="103"/>
      <c r="M136" s="464"/>
      <c r="N136" s="81"/>
      <c r="O136" s="498"/>
      <c r="P136" s="499"/>
      <c r="Q136" s="499"/>
      <c r="R136" s="499"/>
      <c r="S136" s="500"/>
      <c r="T136" s="503"/>
      <c r="U136" s="519"/>
      <c r="V136" s="519"/>
      <c r="W136" s="519"/>
      <c r="X136" s="519"/>
      <c r="Y136" s="519"/>
      <c r="Z136" s="519"/>
      <c r="AA136" s="519"/>
      <c r="AB136" s="519"/>
      <c r="AC136" s="519"/>
      <c r="AD136" s="519"/>
      <c r="AE136" s="519"/>
      <c r="AF136" s="519"/>
      <c r="AG136" s="519"/>
      <c r="AH136" s="519"/>
      <c r="AI136" s="519"/>
      <c r="AJ136" s="519"/>
      <c r="AK136" s="519"/>
      <c r="AL136" s="519"/>
      <c r="AM136" s="519"/>
      <c r="AN136" s="519"/>
      <c r="AO136" s="519"/>
      <c r="AP136" s="519"/>
      <c r="AQ136" s="519"/>
      <c r="AR136" s="519"/>
      <c r="AS136" s="519"/>
      <c r="AT136" s="520"/>
      <c r="AU136" s="103"/>
      <c r="AV136" s="521"/>
      <c r="AW136" s="520"/>
      <c r="AX136" s="28"/>
      <c r="AY136" s="10"/>
    </row>
    <row r="137" spans="1:51" ht="14.25">
      <c r="A137" s="92"/>
      <c r="B137" s="92"/>
      <c r="C137" s="92"/>
      <c r="D137" s="91"/>
      <c r="E137" s="91"/>
      <c r="F137" s="91"/>
      <c r="G137" s="159"/>
      <c r="H137" s="647"/>
      <c r="I137" s="490"/>
      <c r="J137" s="469" t="s">
        <v>1717</v>
      </c>
      <c r="K137" s="470"/>
      <c r="L137" s="103"/>
      <c r="M137" s="471"/>
      <c r="N137" s="81"/>
      <c r="O137" s="472">
        <f t="shared" ref="O137:AW137" si="8">SUM(O86:O136)</f>
        <v>0</v>
      </c>
      <c r="P137" s="473">
        <f t="shared" si="8"/>
        <v>0</v>
      </c>
      <c r="Q137" s="473">
        <f t="shared" si="8"/>
        <v>0</v>
      </c>
      <c r="R137" s="473">
        <f t="shared" si="8"/>
        <v>0</v>
      </c>
      <c r="S137" s="474">
        <f t="shared" si="8"/>
        <v>0</v>
      </c>
      <c r="T137" s="472">
        <f t="shared" si="8"/>
        <v>0</v>
      </c>
      <c r="U137" s="473">
        <f t="shared" si="8"/>
        <v>0</v>
      </c>
      <c r="V137" s="473">
        <f t="shared" si="8"/>
        <v>0</v>
      </c>
      <c r="W137" s="473">
        <f t="shared" si="8"/>
        <v>0</v>
      </c>
      <c r="X137" s="473">
        <f t="shared" si="8"/>
        <v>0</v>
      </c>
      <c r="Y137" s="473">
        <f t="shared" si="8"/>
        <v>0</v>
      </c>
      <c r="Z137" s="473">
        <f t="shared" si="8"/>
        <v>0</v>
      </c>
      <c r="AA137" s="473">
        <f t="shared" si="8"/>
        <v>0</v>
      </c>
      <c r="AB137" s="473">
        <f t="shared" si="8"/>
        <v>0</v>
      </c>
      <c r="AC137" s="473">
        <f t="shared" si="8"/>
        <v>0</v>
      </c>
      <c r="AD137" s="473">
        <f t="shared" si="8"/>
        <v>0</v>
      </c>
      <c r="AE137" s="473">
        <f t="shared" si="8"/>
        <v>0</v>
      </c>
      <c r="AF137" s="473">
        <f t="shared" si="8"/>
        <v>0</v>
      </c>
      <c r="AG137" s="473">
        <f t="shared" si="8"/>
        <v>0</v>
      </c>
      <c r="AH137" s="473">
        <f t="shared" si="8"/>
        <v>0</v>
      </c>
      <c r="AI137" s="473">
        <f t="shared" si="8"/>
        <v>0</v>
      </c>
      <c r="AJ137" s="473">
        <f t="shared" si="8"/>
        <v>0</v>
      </c>
      <c r="AK137" s="473">
        <f t="shared" si="8"/>
        <v>0</v>
      </c>
      <c r="AL137" s="473">
        <f t="shared" si="8"/>
        <v>0</v>
      </c>
      <c r="AM137" s="473">
        <f t="shared" si="8"/>
        <v>0</v>
      </c>
      <c r="AN137" s="473">
        <f t="shared" si="8"/>
        <v>0</v>
      </c>
      <c r="AO137" s="473">
        <f t="shared" si="8"/>
        <v>0</v>
      </c>
      <c r="AP137" s="473">
        <f t="shared" si="8"/>
        <v>0</v>
      </c>
      <c r="AQ137" s="473">
        <f t="shared" si="8"/>
        <v>0</v>
      </c>
      <c r="AR137" s="473">
        <f t="shared" si="8"/>
        <v>0</v>
      </c>
      <c r="AS137" s="473">
        <f t="shared" si="8"/>
        <v>0</v>
      </c>
      <c r="AT137" s="474">
        <f t="shared" si="8"/>
        <v>0</v>
      </c>
      <c r="AU137" s="475"/>
      <c r="AV137" s="472">
        <f t="shared" si="8"/>
        <v>0</v>
      </c>
      <c r="AW137" s="474">
        <f t="shared" si="8"/>
        <v>0</v>
      </c>
      <c r="AX137" s="28"/>
      <c r="AY137" s="98"/>
    </row>
    <row r="138" spans="1:51" ht="14.25">
      <c r="A138" s="77"/>
      <c r="B138" s="77"/>
      <c r="C138" s="77"/>
      <c r="D138" s="78"/>
      <c r="E138" s="78"/>
      <c r="F138" s="78"/>
      <c r="G138" s="77"/>
      <c r="H138" s="90"/>
      <c r="I138" s="90"/>
      <c r="J138" s="132"/>
      <c r="K138" s="132"/>
      <c r="L138" s="98"/>
      <c r="M138" s="240"/>
      <c r="N138" s="10"/>
      <c r="O138" s="239"/>
      <c r="P138" s="239"/>
      <c r="Q138" s="239"/>
      <c r="R138" s="239"/>
      <c r="S138" s="239"/>
      <c r="T138" s="239"/>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98"/>
      <c r="AV138" s="186"/>
      <c r="AW138" s="186"/>
      <c r="AX138" s="10"/>
      <c r="AY138" s="10"/>
    </row>
    <row r="139" spans="1:51" ht="12.75" customHeight="1">
      <c r="A139" s="36"/>
      <c r="B139" s="37"/>
      <c r="C139" s="37" t="s">
        <v>1696</v>
      </c>
      <c r="D139" s="446" t="s">
        <v>1718</v>
      </c>
      <c r="E139" s="446"/>
      <c r="F139" s="446">
        <v>2</v>
      </c>
      <c r="G139" s="447" t="s">
        <v>476</v>
      </c>
      <c r="H139" s="645" t="s">
        <v>1719</v>
      </c>
      <c r="I139" s="477"/>
      <c r="J139" s="448" t="s">
        <v>1720</v>
      </c>
      <c r="K139" s="449"/>
      <c r="L139" s="103"/>
      <c r="M139" s="450"/>
      <c r="N139" s="81"/>
      <c r="O139" s="478"/>
      <c r="P139" s="479"/>
      <c r="Q139" s="479"/>
      <c r="R139" s="479"/>
      <c r="S139" s="480"/>
      <c r="T139" s="508"/>
      <c r="U139" s="509"/>
      <c r="V139" s="509"/>
      <c r="W139" s="509"/>
      <c r="X139" s="509"/>
      <c r="Y139" s="509"/>
      <c r="Z139" s="509"/>
      <c r="AA139" s="509"/>
      <c r="AB139" s="509"/>
      <c r="AC139" s="509"/>
      <c r="AD139" s="509"/>
      <c r="AE139" s="509"/>
      <c r="AF139" s="509"/>
      <c r="AG139" s="509"/>
      <c r="AH139" s="509"/>
      <c r="AI139" s="509"/>
      <c r="AJ139" s="509"/>
      <c r="AK139" s="509"/>
      <c r="AL139" s="509"/>
      <c r="AM139" s="509"/>
      <c r="AN139" s="509"/>
      <c r="AO139" s="509"/>
      <c r="AP139" s="509"/>
      <c r="AQ139" s="509"/>
      <c r="AR139" s="509"/>
      <c r="AS139" s="509"/>
      <c r="AT139" s="510"/>
      <c r="AU139" s="522"/>
      <c r="AV139" s="511"/>
      <c r="AW139" s="510"/>
      <c r="AX139" s="28"/>
      <c r="AY139" s="10"/>
    </row>
    <row r="140" spans="1:51" ht="14.25">
      <c r="A140" s="40"/>
      <c r="B140" s="12"/>
      <c r="C140" s="12" t="s">
        <v>1696</v>
      </c>
      <c r="D140" s="455" t="s">
        <v>1718</v>
      </c>
      <c r="E140" s="455"/>
      <c r="F140" s="455" t="s">
        <v>1721</v>
      </c>
      <c r="G140" s="41" t="s">
        <v>1722</v>
      </c>
      <c r="H140" s="646"/>
      <c r="I140" s="482"/>
      <c r="J140" s="456" t="s">
        <v>1723</v>
      </c>
      <c r="K140" s="457"/>
      <c r="L140" s="103"/>
      <c r="M140" s="458"/>
      <c r="N140" s="81"/>
      <c r="O140" s="483"/>
      <c r="P140" s="484"/>
      <c r="Q140" s="484"/>
      <c r="R140" s="484"/>
      <c r="S140" s="485"/>
      <c r="T140" s="486"/>
      <c r="U140" s="514"/>
      <c r="V140" s="514"/>
      <c r="W140" s="514"/>
      <c r="X140" s="514"/>
      <c r="Y140" s="514"/>
      <c r="Z140" s="514"/>
      <c r="AA140" s="514"/>
      <c r="AB140" s="514"/>
      <c r="AC140" s="514"/>
      <c r="AD140" s="514"/>
      <c r="AE140" s="514"/>
      <c r="AF140" s="514"/>
      <c r="AG140" s="514"/>
      <c r="AH140" s="514"/>
      <c r="AI140" s="514"/>
      <c r="AJ140" s="514"/>
      <c r="AK140" s="514"/>
      <c r="AL140" s="514"/>
      <c r="AM140" s="514"/>
      <c r="AN140" s="514"/>
      <c r="AO140" s="514"/>
      <c r="AP140" s="514"/>
      <c r="AQ140" s="514"/>
      <c r="AR140" s="514"/>
      <c r="AS140" s="514"/>
      <c r="AT140" s="515"/>
      <c r="AU140" s="523"/>
      <c r="AV140" s="516"/>
      <c r="AW140" s="515"/>
      <c r="AX140" s="28"/>
      <c r="AY140" s="10"/>
    </row>
    <row r="141" spans="1:51" ht="14.25">
      <c r="A141" s="40"/>
      <c r="B141" s="12"/>
      <c r="C141" s="12" t="s">
        <v>1696</v>
      </c>
      <c r="D141" s="455" t="s">
        <v>1718</v>
      </c>
      <c r="E141" s="455"/>
      <c r="F141" s="455" t="s">
        <v>1721</v>
      </c>
      <c r="G141" s="41" t="s">
        <v>1724</v>
      </c>
      <c r="H141" s="646"/>
      <c r="I141" s="482"/>
      <c r="J141" s="456" t="s">
        <v>1725</v>
      </c>
      <c r="K141" s="457"/>
      <c r="L141" s="103"/>
      <c r="M141" s="458"/>
      <c r="N141" s="81"/>
      <c r="O141" s="483"/>
      <c r="P141" s="484"/>
      <c r="Q141" s="484"/>
      <c r="R141" s="484"/>
      <c r="S141" s="485"/>
      <c r="T141" s="486"/>
      <c r="U141" s="487"/>
      <c r="V141" s="487"/>
      <c r="W141" s="487"/>
      <c r="X141" s="487"/>
      <c r="Y141" s="514"/>
      <c r="Z141" s="514"/>
      <c r="AA141" s="514"/>
      <c r="AB141" s="514"/>
      <c r="AC141" s="514"/>
      <c r="AD141" s="514"/>
      <c r="AE141" s="514"/>
      <c r="AF141" s="514"/>
      <c r="AG141" s="514"/>
      <c r="AH141" s="514"/>
      <c r="AI141" s="514"/>
      <c r="AJ141" s="514"/>
      <c r="AK141" s="514"/>
      <c r="AL141" s="487"/>
      <c r="AM141" s="514"/>
      <c r="AN141" s="514"/>
      <c r="AO141" s="514"/>
      <c r="AP141" s="514"/>
      <c r="AQ141" s="487"/>
      <c r="AR141" s="487"/>
      <c r="AS141" s="514"/>
      <c r="AT141" s="488"/>
      <c r="AU141" s="523"/>
      <c r="AV141" s="516"/>
      <c r="AW141" s="488"/>
      <c r="AX141" s="28"/>
      <c r="AY141" s="10"/>
    </row>
    <row r="142" spans="1:51" ht="14.25">
      <c r="A142" s="40"/>
      <c r="B142" s="12"/>
      <c r="C142" s="12" t="s">
        <v>1696</v>
      </c>
      <c r="D142" s="455" t="s">
        <v>1718</v>
      </c>
      <c r="E142" s="455"/>
      <c r="F142" s="455" t="s">
        <v>1726</v>
      </c>
      <c r="G142" s="41" t="s">
        <v>476</v>
      </c>
      <c r="H142" s="646"/>
      <c r="I142" s="482"/>
      <c r="J142" s="456" t="str">
        <f>"EXTRA PARA HOURS "</f>
        <v xml:space="preserve">EXTRA PARA HOURS </v>
      </c>
      <c r="K142" s="457"/>
      <c r="L142" s="103"/>
      <c r="M142" s="458"/>
      <c r="N142" s="81"/>
      <c r="O142" s="483"/>
      <c r="P142" s="484"/>
      <c r="Q142" s="484"/>
      <c r="R142" s="484"/>
      <c r="S142" s="485"/>
      <c r="T142" s="486"/>
      <c r="U142" s="514"/>
      <c r="V142" s="514"/>
      <c r="W142" s="514"/>
      <c r="X142" s="514"/>
      <c r="Y142" s="514"/>
      <c r="Z142" s="514"/>
      <c r="AA142" s="514"/>
      <c r="AB142" s="514"/>
      <c r="AC142" s="514"/>
      <c r="AD142" s="514"/>
      <c r="AE142" s="514"/>
      <c r="AF142" s="514"/>
      <c r="AG142" s="514"/>
      <c r="AH142" s="514"/>
      <c r="AI142" s="514"/>
      <c r="AJ142" s="514"/>
      <c r="AK142" s="514"/>
      <c r="AL142" s="514"/>
      <c r="AM142" s="514"/>
      <c r="AN142" s="514"/>
      <c r="AO142" s="514"/>
      <c r="AP142" s="514"/>
      <c r="AQ142" s="514"/>
      <c r="AR142" s="514"/>
      <c r="AS142" s="514"/>
      <c r="AT142" s="515"/>
      <c r="AU142" s="523"/>
      <c r="AV142" s="516"/>
      <c r="AW142" s="515"/>
      <c r="AX142" s="28"/>
      <c r="AY142" s="10"/>
    </row>
    <row r="143" spans="1:51" ht="14.25">
      <c r="A143" s="40"/>
      <c r="B143" s="12"/>
      <c r="C143" s="12" t="s">
        <v>1696</v>
      </c>
      <c r="D143" s="455" t="s">
        <v>1718</v>
      </c>
      <c r="E143" s="455"/>
      <c r="F143" s="455" t="s">
        <v>1726</v>
      </c>
      <c r="G143" s="41" t="s">
        <v>1724</v>
      </c>
      <c r="H143" s="646"/>
      <c r="I143" s="482"/>
      <c r="J143" s="456" t="str">
        <f>"EXTRA PARA HOURS - BENEFITS"</f>
        <v>EXTRA PARA HOURS - BENEFITS</v>
      </c>
      <c r="K143" s="457"/>
      <c r="L143" s="103"/>
      <c r="M143" s="458"/>
      <c r="N143" s="81"/>
      <c r="O143" s="483"/>
      <c r="P143" s="484"/>
      <c r="Q143" s="484"/>
      <c r="R143" s="484"/>
      <c r="S143" s="485"/>
      <c r="T143" s="486"/>
      <c r="U143" s="487"/>
      <c r="V143" s="487"/>
      <c r="W143" s="487"/>
      <c r="X143" s="487"/>
      <c r="Y143" s="514"/>
      <c r="Z143" s="514"/>
      <c r="AA143" s="514"/>
      <c r="AB143" s="514"/>
      <c r="AC143" s="514"/>
      <c r="AD143" s="514"/>
      <c r="AE143" s="514"/>
      <c r="AF143" s="514"/>
      <c r="AG143" s="514"/>
      <c r="AH143" s="514"/>
      <c r="AI143" s="514"/>
      <c r="AJ143" s="514"/>
      <c r="AK143" s="514"/>
      <c r="AL143" s="487"/>
      <c r="AM143" s="514"/>
      <c r="AN143" s="514"/>
      <c r="AO143" s="514"/>
      <c r="AP143" s="514"/>
      <c r="AQ143" s="487"/>
      <c r="AR143" s="487"/>
      <c r="AS143" s="514"/>
      <c r="AT143" s="488"/>
      <c r="AU143" s="523"/>
      <c r="AV143" s="516"/>
      <c r="AW143" s="488"/>
      <c r="AX143" s="28"/>
      <c r="AY143" s="10"/>
    </row>
    <row r="144" spans="1:51" ht="14.25">
      <c r="A144" s="40"/>
      <c r="B144" s="12"/>
      <c r="C144" s="12" t="s">
        <v>1696</v>
      </c>
      <c r="D144" s="455" t="s">
        <v>1718</v>
      </c>
      <c r="E144" s="455"/>
      <c r="F144" s="455" t="s">
        <v>1694</v>
      </c>
      <c r="G144" s="41" t="s">
        <v>1727</v>
      </c>
      <c r="H144" s="646"/>
      <c r="I144" s="482"/>
      <c r="J144" s="456" t="s">
        <v>1728</v>
      </c>
      <c r="K144" s="457"/>
      <c r="L144" s="103"/>
      <c r="M144" s="458"/>
      <c r="N144" s="81"/>
      <c r="O144" s="483"/>
      <c r="P144" s="484"/>
      <c r="Q144" s="484"/>
      <c r="R144" s="484"/>
      <c r="S144" s="485"/>
      <c r="T144" s="486"/>
      <c r="U144" s="514"/>
      <c r="V144" s="514"/>
      <c r="W144" s="514"/>
      <c r="X144" s="514"/>
      <c r="Y144" s="514"/>
      <c r="Z144" s="514"/>
      <c r="AA144" s="514"/>
      <c r="AB144" s="514"/>
      <c r="AC144" s="514"/>
      <c r="AD144" s="514"/>
      <c r="AE144" s="514"/>
      <c r="AF144" s="514"/>
      <c r="AG144" s="514"/>
      <c r="AH144" s="514"/>
      <c r="AI144" s="514"/>
      <c r="AJ144" s="514"/>
      <c r="AK144" s="514"/>
      <c r="AL144" s="514"/>
      <c r="AM144" s="514"/>
      <c r="AN144" s="514"/>
      <c r="AO144" s="514"/>
      <c r="AP144" s="514"/>
      <c r="AQ144" s="514"/>
      <c r="AR144" s="514"/>
      <c r="AS144" s="514"/>
      <c r="AT144" s="515"/>
      <c r="AU144" s="523"/>
      <c r="AV144" s="516"/>
      <c r="AW144" s="515"/>
      <c r="AX144" s="28"/>
      <c r="AY144" s="10"/>
    </row>
    <row r="145" spans="1:51" ht="14.25">
      <c r="A145" s="40"/>
      <c r="B145" s="12"/>
      <c r="C145" s="12" t="s">
        <v>1696</v>
      </c>
      <c r="D145" s="455" t="s">
        <v>1718</v>
      </c>
      <c r="E145" s="455"/>
      <c r="F145" s="455" t="s">
        <v>1694</v>
      </c>
      <c r="G145" s="41" t="s">
        <v>1703</v>
      </c>
      <c r="H145" s="646"/>
      <c r="I145" s="482"/>
      <c r="J145" s="456" t="s">
        <v>342</v>
      </c>
      <c r="K145" s="457"/>
      <c r="L145" s="103"/>
      <c r="M145" s="458"/>
      <c r="N145" s="81"/>
      <c r="O145" s="483"/>
      <c r="P145" s="484"/>
      <c r="Q145" s="484"/>
      <c r="R145" s="484"/>
      <c r="S145" s="485"/>
      <c r="T145" s="486"/>
      <c r="U145" s="514"/>
      <c r="V145" s="514"/>
      <c r="W145" s="514"/>
      <c r="X145" s="514"/>
      <c r="Y145" s="514"/>
      <c r="Z145" s="514"/>
      <c r="AA145" s="514"/>
      <c r="AB145" s="514"/>
      <c r="AC145" s="514"/>
      <c r="AD145" s="514"/>
      <c r="AE145" s="514"/>
      <c r="AF145" s="514"/>
      <c r="AG145" s="514"/>
      <c r="AH145" s="514"/>
      <c r="AI145" s="514"/>
      <c r="AJ145" s="514"/>
      <c r="AK145" s="514"/>
      <c r="AL145" s="514"/>
      <c r="AM145" s="514"/>
      <c r="AN145" s="514"/>
      <c r="AO145" s="514"/>
      <c r="AP145" s="514"/>
      <c r="AQ145" s="514"/>
      <c r="AR145" s="514"/>
      <c r="AS145" s="514"/>
      <c r="AT145" s="515"/>
      <c r="AU145" s="523"/>
      <c r="AV145" s="516"/>
      <c r="AW145" s="515"/>
      <c r="AX145" s="28"/>
      <c r="AY145" s="10"/>
    </row>
    <row r="146" spans="1:51" ht="14.25">
      <c r="A146" s="40"/>
      <c r="B146" s="12"/>
      <c r="C146" s="12" t="s">
        <v>1696</v>
      </c>
      <c r="D146" s="455" t="s">
        <v>1718</v>
      </c>
      <c r="E146" s="455"/>
      <c r="F146" s="455" t="s">
        <v>1694</v>
      </c>
      <c r="G146" s="41" t="s">
        <v>1729</v>
      </c>
      <c r="H146" s="646"/>
      <c r="I146" s="482"/>
      <c r="J146" s="456" t="s">
        <v>1730</v>
      </c>
      <c r="K146" s="457"/>
      <c r="L146" s="103"/>
      <c r="M146" s="458"/>
      <c r="N146" s="81"/>
      <c r="O146" s="483"/>
      <c r="P146" s="484"/>
      <c r="Q146" s="484"/>
      <c r="R146" s="484"/>
      <c r="S146" s="485"/>
      <c r="T146" s="486"/>
      <c r="U146" s="514"/>
      <c r="V146" s="514"/>
      <c r="W146" s="514"/>
      <c r="X146" s="514"/>
      <c r="Y146" s="514"/>
      <c r="Z146" s="514"/>
      <c r="AA146" s="514"/>
      <c r="AB146" s="514"/>
      <c r="AC146" s="514"/>
      <c r="AD146" s="514"/>
      <c r="AE146" s="514"/>
      <c r="AF146" s="514"/>
      <c r="AG146" s="514"/>
      <c r="AH146" s="514"/>
      <c r="AI146" s="514"/>
      <c r="AJ146" s="514"/>
      <c r="AK146" s="514"/>
      <c r="AL146" s="514"/>
      <c r="AM146" s="514"/>
      <c r="AN146" s="514"/>
      <c r="AO146" s="514"/>
      <c r="AP146" s="514"/>
      <c r="AQ146" s="514"/>
      <c r="AR146" s="514"/>
      <c r="AS146" s="514"/>
      <c r="AT146" s="515"/>
      <c r="AU146" s="523"/>
      <c r="AV146" s="516"/>
      <c r="AW146" s="515"/>
      <c r="AX146" s="28"/>
      <c r="AY146" s="10"/>
    </row>
    <row r="147" spans="1:51" ht="14.25">
      <c r="A147" s="40"/>
      <c r="B147" s="12"/>
      <c r="C147" s="12" t="s">
        <v>1696</v>
      </c>
      <c r="D147" s="455" t="s">
        <v>1718</v>
      </c>
      <c r="E147" s="455"/>
      <c r="F147" s="455" t="s">
        <v>1694</v>
      </c>
      <c r="G147" s="41" t="s">
        <v>1731</v>
      </c>
      <c r="H147" s="646"/>
      <c r="I147" s="482"/>
      <c r="J147" s="456" t="s">
        <v>1732</v>
      </c>
      <c r="K147" s="457"/>
      <c r="L147" s="103"/>
      <c r="M147" s="458"/>
      <c r="N147" s="81"/>
      <c r="O147" s="483"/>
      <c r="P147" s="484"/>
      <c r="Q147" s="484"/>
      <c r="R147" s="484"/>
      <c r="S147" s="485"/>
      <c r="T147" s="486"/>
      <c r="U147" s="514"/>
      <c r="V147" s="514"/>
      <c r="W147" s="514"/>
      <c r="X147" s="514"/>
      <c r="Y147" s="514"/>
      <c r="Z147" s="514"/>
      <c r="AA147" s="514"/>
      <c r="AB147" s="514"/>
      <c r="AC147" s="514"/>
      <c r="AD147" s="514"/>
      <c r="AE147" s="514"/>
      <c r="AF147" s="514"/>
      <c r="AG147" s="514"/>
      <c r="AH147" s="514"/>
      <c r="AI147" s="514"/>
      <c r="AJ147" s="514"/>
      <c r="AK147" s="514"/>
      <c r="AL147" s="514"/>
      <c r="AM147" s="514"/>
      <c r="AN147" s="514"/>
      <c r="AO147" s="514"/>
      <c r="AP147" s="514"/>
      <c r="AQ147" s="514"/>
      <c r="AR147" s="514"/>
      <c r="AS147" s="514"/>
      <c r="AT147" s="515"/>
      <c r="AU147" s="523"/>
      <c r="AV147" s="516"/>
      <c r="AW147" s="515"/>
      <c r="AX147" s="28"/>
      <c r="AY147" s="10"/>
    </row>
    <row r="148" spans="1:51" ht="14.25">
      <c r="A148" s="40"/>
      <c r="B148" s="12"/>
      <c r="C148" s="12" t="s">
        <v>1696</v>
      </c>
      <c r="D148" s="455" t="s">
        <v>1718</v>
      </c>
      <c r="E148" s="455"/>
      <c r="F148" s="455" t="s">
        <v>1694</v>
      </c>
      <c r="G148" s="41" t="s">
        <v>1705</v>
      </c>
      <c r="H148" s="646"/>
      <c r="I148" s="482"/>
      <c r="J148" s="456" t="s">
        <v>344</v>
      </c>
      <c r="K148" s="457"/>
      <c r="L148" s="103"/>
      <c r="M148" s="458"/>
      <c r="N148" s="81"/>
      <c r="O148" s="483"/>
      <c r="P148" s="484"/>
      <c r="Q148" s="484"/>
      <c r="R148" s="484"/>
      <c r="S148" s="485"/>
      <c r="T148" s="486"/>
      <c r="U148" s="514"/>
      <c r="V148" s="514"/>
      <c r="W148" s="514"/>
      <c r="X148" s="514"/>
      <c r="Y148" s="514"/>
      <c r="Z148" s="514"/>
      <c r="AA148" s="514"/>
      <c r="AB148" s="514"/>
      <c r="AC148" s="514"/>
      <c r="AD148" s="514"/>
      <c r="AE148" s="514"/>
      <c r="AF148" s="514"/>
      <c r="AG148" s="514"/>
      <c r="AH148" s="514"/>
      <c r="AI148" s="514"/>
      <c r="AJ148" s="514"/>
      <c r="AK148" s="514"/>
      <c r="AL148" s="514"/>
      <c r="AM148" s="514"/>
      <c r="AN148" s="514"/>
      <c r="AO148" s="514"/>
      <c r="AP148" s="514"/>
      <c r="AQ148" s="514"/>
      <c r="AR148" s="514"/>
      <c r="AS148" s="514"/>
      <c r="AT148" s="515"/>
      <c r="AU148" s="523"/>
      <c r="AV148" s="516"/>
      <c r="AW148" s="515"/>
      <c r="AX148" s="28"/>
      <c r="AY148" s="10"/>
    </row>
    <row r="149" spans="1:51" ht="14.25">
      <c r="A149" s="40"/>
      <c r="B149" s="12"/>
      <c r="C149" s="12" t="s">
        <v>1696</v>
      </c>
      <c r="D149" s="455" t="s">
        <v>1718</v>
      </c>
      <c r="E149" s="455"/>
      <c r="F149" s="455" t="s">
        <v>1694</v>
      </c>
      <c r="G149" s="41" t="s">
        <v>1733</v>
      </c>
      <c r="H149" s="646"/>
      <c r="I149" s="482"/>
      <c r="J149" s="456" t="s">
        <v>1734</v>
      </c>
      <c r="K149" s="457"/>
      <c r="L149" s="103"/>
      <c r="M149" s="458"/>
      <c r="N149" s="81"/>
      <c r="O149" s="483"/>
      <c r="P149" s="484"/>
      <c r="Q149" s="484"/>
      <c r="R149" s="484"/>
      <c r="S149" s="485"/>
      <c r="T149" s="486"/>
      <c r="U149" s="514"/>
      <c r="V149" s="514"/>
      <c r="W149" s="514"/>
      <c r="X149" s="514"/>
      <c r="Y149" s="514"/>
      <c r="Z149" s="514"/>
      <c r="AA149" s="514"/>
      <c r="AB149" s="514"/>
      <c r="AC149" s="514"/>
      <c r="AD149" s="514"/>
      <c r="AE149" s="514"/>
      <c r="AF149" s="514"/>
      <c r="AG149" s="514"/>
      <c r="AH149" s="514"/>
      <c r="AI149" s="514"/>
      <c r="AJ149" s="514"/>
      <c r="AK149" s="514"/>
      <c r="AL149" s="514"/>
      <c r="AM149" s="514"/>
      <c r="AN149" s="514"/>
      <c r="AO149" s="514"/>
      <c r="AP149" s="514"/>
      <c r="AQ149" s="514"/>
      <c r="AR149" s="514"/>
      <c r="AS149" s="514"/>
      <c r="AT149" s="515"/>
      <c r="AU149" s="523"/>
      <c r="AV149" s="516"/>
      <c r="AW149" s="515"/>
      <c r="AX149" s="28"/>
      <c r="AY149" s="10"/>
    </row>
    <row r="150" spans="1:51" ht="14.25">
      <c r="A150" s="40"/>
      <c r="B150" s="12"/>
      <c r="C150" s="12" t="s">
        <v>1696</v>
      </c>
      <c r="D150" s="455" t="s">
        <v>1718</v>
      </c>
      <c r="E150" s="455"/>
      <c r="F150" s="455" t="s">
        <v>1694</v>
      </c>
      <c r="G150" s="41" t="s">
        <v>1735</v>
      </c>
      <c r="H150" s="646"/>
      <c r="I150" s="482"/>
      <c r="J150" s="456" t="s">
        <v>1736</v>
      </c>
      <c r="K150" s="457"/>
      <c r="L150" s="103"/>
      <c r="M150" s="458"/>
      <c r="N150" s="81"/>
      <c r="O150" s="483"/>
      <c r="P150" s="484"/>
      <c r="Q150" s="484"/>
      <c r="R150" s="484"/>
      <c r="S150" s="485"/>
      <c r="T150" s="486"/>
      <c r="U150" s="514"/>
      <c r="V150" s="514"/>
      <c r="W150" s="514"/>
      <c r="X150" s="514"/>
      <c r="Y150" s="514"/>
      <c r="Z150" s="514"/>
      <c r="AA150" s="514"/>
      <c r="AB150" s="514"/>
      <c r="AC150" s="514"/>
      <c r="AD150" s="514"/>
      <c r="AE150" s="514"/>
      <c r="AF150" s="514"/>
      <c r="AG150" s="514"/>
      <c r="AH150" s="514"/>
      <c r="AI150" s="514"/>
      <c r="AJ150" s="514"/>
      <c r="AK150" s="514"/>
      <c r="AL150" s="514"/>
      <c r="AM150" s="514"/>
      <c r="AN150" s="514"/>
      <c r="AO150" s="514"/>
      <c r="AP150" s="514"/>
      <c r="AQ150" s="514"/>
      <c r="AR150" s="514"/>
      <c r="AS150" s="514"/>
      <c r="AT150" s="515"/>
      <c r="AU150" s="523"/>
      <c r="AV150" s="516"/>
      <c r="AW150" s="515"/>
      <c r="AX150" s="28"/>
      <c r="AY150" s="10"/>
    </row>
    <row r="151" spans="1:51" ht="14.25">
      <c r="A151" s="40"/>
      <c r="B151" s="12"/>
      <c r="C151" s="12" t="s">
        <v>1696</v>
      </c>
      <c r="D151" s="455" t="s">
        <v>1718</v>
      </c>
      <c r="E151" s="455"/>
      <c r="F151" s="455" t="s">
        <v>1694</v>
      </c>
      <c r="G151" s="41" t="s">
        <v>638</v>
      </c>
      <c r="H151" s="646"/>
      <c r="I151" s="482"/>
      <c r="J151" s="456" t="s">
        <v>336</v>
      </c>
      <c r="K151" s="457"/>
      <c r="L151" s="103"/>
      <c r="M151" s="458"/>
      <c r="N151" s="81"/>
      <c r="O151" s="483"/>
      <c r="P151" s="484"/>
      <c r="Q151" s="484"/>
      <c r="R151" s="484"/>
      <c r="S151" s="485"/>
      <c r="T151" s="486"/>
      <c r="U151" s="514"/>
      <c r="V151" s="514"/>
      <c r="W151" s="514"/>
      <c r="X151" s="514"/>
      <c r="Y151" s="514"/>
      <c r="Z151" s="514"/>
      <c r="AA151" s="514"/>
      <c r="AB151" s="514"/>
      <c r="AC151" s="514"/>
      <c r="AD151" s="514"/>
      <c r="AE151" s="514"/>
      <c r="AF151" s="514"/>
      <c r="AG151" s="514"/>
      <c r="AH151" s="514"/>
      <c r="AI151" s="514"/>
      <c r="AJ151" s="514"/>
      <c r="AK151" s="514"/>
      <c r="AL151" s="514"/>
      <c r="AM151" s="514"/>
      <c r="AN151" s="514"/>
      <c r="AO151" s="514"/>
      <c r="AP151" s="514"/>
      <c r="AQ151" s="514"/>
      <c r="AR151" s="514"/>
      <c r="AS151" s="514"/>
      <c r="AT151" s="515"/>
      <c r="AU151" s="523"/>
      <c r="AV151" s="516"/>
      <c r="AW151" s="515"/>
      <c r="AX151" s="28"/>
      <c r="AY151" s="10"/>
    </row>
    <row r="152" spans="1:51" ht="14.25">
      <c r="A152" s="40"/>
      <c r="B152" s="12"/>
      <c r="C152" s="12" t="s">
        <v>1696</v>
      </c>
      <c r="D152" s="455" t="s">
        <v>1718</v>
      </c>
      <c r="E152" s="455"/>
      <c r="F152" s="455" t="s">
        <v>1694</v>
      </c>
      <c r="G152" s="41" t="s">
        <v>1698</v>
      </c>
      <c r="H152" s="646"/>
      <c r="I152" s="482"/>
      <c r="J152" s="456" t="s">
        <v>338</v>
      </c>
      <c r="K152" s="457"/>
      <c r="L152" s="103"/>
      <c r="M152" s="458"/>
      <c r="N152" s="81"/>
      <c r="O152" s="483"/>
      <c r="P152" s="484"/>
      <c r="Q152" s="484"/>
      <c r="R152" s="484"/>
      <c r="S152" s="485"/>
      <c r="T152" s="486"/>
      <c r="U152" s="514"/>
      <c r="V152" s="514"/>
      <c r="W152" s="514"/>
      <c r="X152" s="514"/>
      <c r="Y152" s="514"/>
      <c r="Z152" s="514"/>
      <c r="AA152" s="514"/>
      <c r="AB152" s="514"/>
      <c r="AC152" s="514"/>
      <c r="AD152" s="514"/>
      <c r="AE152" s="514"/>
      <c r="AF152" s="514"/>
      <c r="AG152" s="514"/>
      <c r="AH152" s="514"/>
      <c r="AI152" s="514"/>
      <c r="AJ152" s="514"/>
      <c r="AK152" s="514"/>
      <c r="AL152" s="514"/>
      <c r="AM152" s="514"/>
      <c r="AN152" s="514"/>
      <c r="AO152" s="514"/>
      <c r="AP152" s="514"/>
      <c r="AQ152" s="514"/>
      <c r="AR152" s="514"/>
      <c r="AS152" s="514"/>
      <c r="AT152" s="515"/>
      <c r="AU152" s="523"/>
      <c r="AV152" s="516"/>
      <c r="AW152" s="515"/>
      <c r="AX152" s="28"/>
      <c r="AY152" s="10"/>
    </row>
    <row r="153" spans="1:51" ht="14.25">
      <c r="A153" s="40"/>
      <c r="B153" s="12"/>
      <c r="C153" s="12" t="s">
        <v>1696</v>
      </c>
      <c r="D153" s="455" t="s">
        <v>1718</v>
      </c>
      <c r="E153" s="455"/>
      <c r="F153" s="455" t="s">
        <v>1694</v>
      </c>
      <c r="G153" s="41" t="s">
        <v>1702</v>
      </c>
      <c r="H153" s="646"/>
      <c r="I153" s="482"/>
      <c r="J153" s="456" t="s">
        <v>341</v>
      </c>
      <c r="K153" s="457"/>
      <c r="L153" s="103"/>
      <c r="M153" s="458"/>
      <c r="N153" s="81"/>
      <c r="O153" s="483"/>
      <c r="P153" s="484"/>
      <c r="Q153" s="484"/>
      <c r="R153" s="484"/>
      <c r="S153" s="485"/>
      <c r="T153" s="486"/>
      <c r="U153" s="514"/>
      <c r="V153" s="514"/>
      <c r="W153" s="514"/>
      <c r="X153" s="514"/>
      <c r="Y153" s="514"/>
      <c r="Z153" s="514"/>
      <c r="AA153" s="514"/>
      <c r="AB153" s="514"/>
      <c r="AC153" s="514"/>
      <c r="AD153" s="514"/>
      <c r="AE153" s="514"/>
      <c r="AF153" s="514"/>
      <c r="AG153" s="514"/>
      <c r="AH153" s="514"/>
      <c r="AI153" s="514"/>
      <c r="AJ153" s="514"/>
      <c r="AK153" s="514"/>
      <c r="AL153" s="514"/>
      <c r="AM153" s="514"/>
      <c r="AN153" s="514"/>
      <c r="AO153" s="514"/>
      <c r="AP153" s="514"/>
      <c r="AQ153" s="514"/>
      <c r="AR153" s="514"/>
      <c r="AS153" s="514"/>
      <c r="AT153" s="515"/>
      <c r="AU153" s="523"/>
      <c r="AV153" s="516"/>
      <c r="AW153" s="515"/>
      <c r="AX153" s="28"/>
      <c r="AY153" s="10"/>
    </row>
    <row r="154" spans="1:51" ht="14.25">
      <c r="A154" s="40"/>
      <c r="B154" s="12"/>
      <c r="C154" s="12" t="s">
        <v>1696</v>
      </c>
      <c r="D154" s="455" t="s">
        <v>1718</v>
      </c>
      <c r="E154" s="455"/>
      <c r="F154" s="455" t="s">
        <v>1694</v>
      </c>
      <c r="G154" s="41" t="s">
        <v>1706</v>
      </c>
      <c r="H154" s="646"/>
      <c r="I154" s="482"/>
      <c r="J154" s="456" t="s">
        <v>1707</v>
      </c>
      <c r="K154" s="457"/>
      <c r="L154" s="103"/>
      <c r="M154" s="458"/>
      <c r="N154" s="81"/>
      <c r="O154" s="483"/>
      <c r="P154" s="484"/>
      <c r="Q154" s="484"/>
      <c r="R154" s="484"/>
      <c r="S154" s="485"/>
      <c r="T154" s="486"/>
      <c r="U154" s="514"/>
      <c r="V154" s="514"/>
      <c r="W154" s="514"/>
      <c r="X154" s="514"/>
      <c r="Y154" s="514"/>
      <c r="Z154" s="514"/>
      <c r="AA154" s="514"/>
      <c r="AB154" s="514"/>
      <c r="AC154" s="514"/>
      <c r="AD154" s="514"/>
      <c r="AE154" s="514"/>
      <c r="AF154" s="514"/>
      <c r="AG154" s="514"/>
      <c r="AH154" s="514"/>
      <c r="AI154" s="514"/>
      <c r="AJ154" s="514"/>
      <c r="AK154" s="514"/>
      <c r="AL154" s="514"/>
      <c r="AM154" s="514"/>
      <c r="AN154" s="514"/>
      <c r="AO154" s="514"/>
      <c r="AP154" s="514"/>
      <c r="AQ154" s="514"/>
      <c r="AR154" s="514"/>
      <c r="AS154" s="514"/>
      <c r="AT154" s="515"/>
      <c r="AU154" s="523"/>
      <c r="AV154" s="516"/>
      <c r="AW154" s="515"/>
      <c r="AX154" s="28"/>
      <c r="AY154" s="10"/>
    </row>
    <row r="155" spans="1:51" ht="14.25">
      <c r="A155" s="45"/>
      <c r="B155" s="46"/>
      <c r="C155" s="46" t="s">
        <v>1696</v>
      </c>
      <c r="D155" s="476" t="s">
        <v>1718</v>
      </c>
      <c r="E155" s="476"/>
      <c r="F155" s="476" t="s">
        <v>1694</v>
      </c>
      <c r="G155" s="47" t="s">
        <v>1710</v>
      </c>
      <c r="H155" s="646"/>
      <c r="I155" s="489"/>
      <c r="J155" s="462" t="s">
        <v>345</v>
      </c>
      <c r="K155" s="463"/>
      <c r="L155" s="103"/>
      <c r="M155" s="458"/>
      <c r="N155" s="81"/>
      <c r="O155" s="483"/>
      <c r="P155" s="484"/>
      <c r="Q155" s="484"/>
      <c r="R155" s="484"/>
      <c r="S155" s="485"/>
      <c r="T155" s="486"/>
      <c r="U155" s="514"/>
      <c r="V155" s="514"/>
      <c r="W155" s="514"/>
      <c r="X155" s="514"/>
      <c r="Y155" s="514"/>
      <c r="Z155" s="514"/>
      <c r="AA155" s="514"/>
      <c r="AB155" s="514"/>
      <c r="AC155" s="514"/>
      <c r="AD155" s="514"/>
      <c r="AE155" s="514"/>
      <c r="AF155" s="514"/>
      <c r="AG155" s="514"/>
      <c r="AH155" s="514"/>
      <c r="AI155" s="514"/>
      <c r="AJ155" s="514"/>
      <c r="AK155" s="514"/>
      <c r="AL155" s="514"/>
      <c r="AM155" s="514"/>
      <c r="AN155" s="514"/>
      <c r="AO155" s="514"/>
      <c r="AP155" s="514"/>
      <c r="AQ155" s="514"/>
      <c r="AR155" s="514"/>
      <c r="AS155" s="514"/>
      <c r="AT155" s="515"/>
      <c r="AU155" s="523"/>
      <c r="AV155" s="516"/>
      <c r="AW155" s="515"/>
      <c r="AX155" s="28"/>
      <c r="AY155" s="10"/>
    </row>
    <row r="156" spans="1:51" ht="12.75" customHeight="1">
      <c r="A156" s="36"/>
      <c r="B156" s="37"/>
      <c r="C156" s="37" t="s">
        <v>1696</v>
      </c>
      <c r="D156" s="446" t="s">
        <v>1718</v>
      </c>
      <c r="E156" s="446"/>
      <c r="F156" s="446">
        <v>2</v>
      </c>
      <c r="G156" s="447" t="s">
        <v>476</v>
      </c>
      <c r="H156" s="646"/>
      <c r="I156" s="477"/>
      <c r="J156" s="448" t="s">
        <v>1720</v>
      </c>
      <c r="K156" s="449"/>
      <c r="L156" s="103"/>
      <c r="M156" s="458"/>
      <c r="N156" s="81"/>
      <c r="O156" s="483"/>
      <c r="P156" s="484"/>
      <c r="Q156" s="484"/>
      <c r="R156" s="484"/>
      <c r="S156" s="485"/>
      <c r="T156" s="486"/>
      <c r="U156" s="514"/>
      <c r="V156" s="514"/>
      <c r="W156" s="514"/>
      <c r="X156" s="514"/>
      <c r="Y156" s="514"/>
      <c r="Z156" s="514"/>
      <c r="AA156" s="514"/>
      <c r="AB156" s="514"/>
      <c r="AC156" s="514"/>
      <c r="AD156" s="514"/>
      <c r="AE156" s="514"/>
      <c r="AF156" s="514"/>
      <c r="AG156" s="514"/>
      <c r="AH156" s="514"/>
      <c r="AI156" s="514"/>
      <c r="AJ156" s="514"/>
      <c r="AK156" s="514"/>
      <c r="AL156" s="514"/>
      <c r="AM156" s="514"/>
      <c r="AN156" s="514"/>
      <c r="AO156" s="514"/>
      <c r="AP156" s="514"/>
      <c r="AQ156" s="514"/>
      <c r="AR156" s="514"/>
      <c r="AS156" s="514"/>
      <c r="AT156" s="515"/>
      <c r="AU156" s="523"/>
      <c r="AV156" s="516"/>
      <c r="AW156" s="515"/>
      <c r="AX156" s="28"/>
      <c r="AY156" s="10"/>
    </row>
    <row r="157" spans="1:51" ht="14.25">
      <c r="A157" s="40"/>
      <c r="B157" s="12"/>
      <c r="C157" s="12" t="s">
        <v>1696</v>
      </c>
      <c r="D157" s="455" t="s">
        <v>1718</v>
      </c>
      <c r="E157" s="455"/>
      <c r="F157" s="455" t="s">
        <v>1721</v>
      </c>
      <c r="G157" s="41" t="s">
        <v>1722</v>
      </c>
      <c r="H157" s="646"/>
      <c r="I157" s="482"/>
      <c r="J157" s="456" t="s">
        <v>1723</v>
      </c>
      <c r="K157" s="457"/>
      <c r="L157" s="103"/>
      <c r="M157" s="458"/>
      <c r="N157" s="81"/>
      <c r="O157" s="483"/>
      <c r="P157" s="484"/>
      <c r="Q157" s="484"/>
      <c r="R157" s="484"/>
      <c r="S157" s="485"/>
      <c r="T157" s="486"/>
      <c r="U157" s="514"/>
      <c r="V157" s="514"/>
      <c r="W157" s="514"/>
      <c r="X157" s="514"/>
      <c r="Y157" s="514"/>
      <c r="Z157" s="514"/>
      <c r="AA157" s="514"/>
      <c r="AB157" s="514"/>
      <c r="AC157" s="514"/>
      <c r="AD157" s="514"/>
      <c r="AE157" s="514"/>
      <c r="AF157" s="514"/>
      <c r="AG157" s="514"/>
      <c r="AH157" s="514"/>
      <c r="AI157" s="514"/>
      <c r="AJ157" s="514"/>
      <c r="AK157" s="514"/>
      <c r="AL157" s="514"/>
      <c r="AM157" s="514"/>
      <c r="AN157" s="514"/>
      <c r="AO157" s="514"/>
      <c r="AP157" s="514"/>
      <c r="AQ157" s="514"/>
      <c r="AR157" s="514"/>
      <c r="AS157" s="514"/>
      <c r="AT157" s="515"/>
      <c r="AU157" s="523"/>
      <c r="AV157" s="516"/>
      <c r="AW157" s="515"/>
      <c r="AX157" s="28"/>
      <c r="AY157" s="10"/>
    </row>
    <row r="158" spans="1:51" ht="14.25">
      <c r="A158" s="40"/>
      <c r="B158" s="12"/>
      <c r="C158" s="12" t="s">
        <v>1696</v>
      </c>
      <c r="D158" s="455" t="s">
        <v>1718</v>
      </c>
      <c r="E158" s="455"/>
      <c r="F158" s="455" t="s">
        <v>1721</v>
      </c>
      <c r="G158" s="41" t="s">
        <v>1724</v>
      </c>
      <c r="H158" s="646"/>
      <c r="I158" s="482"/>
      <c r="J158" s="456" t="s">
        <v>1725</v>
      </c>
      <c r="K158" s="457"/>
      <c r="L158" s="103"/>
      <c r="M158" s="458"/>
      <c r="N158" s="81"/>
      <c r="O158" s="483"/>
      <c r="P158" s="484"/>
      <c r="Q158" s="484"/>
      <c r="R158" s="484"/>
      <c r="S158" s="485"/>
      <c r="T158" s="486"/>
      <c r="U158" s="487"/>
      <c r="V158" s="487"/>
      <c r="W158" s="487"/>
      <c r="X158" s="487"/>
      <c r="Y158" s="514"/>
      <c r="Z158" s="514"/>
      <c r="AA158" s="514"/>
      <c r="AB158" s="514"/>
      <c r="AC158" s="514"/>
      <c r="AD158" s="514"/>
      <c r="AE158" s="514"/>
      <c r="AF158" s="514"/>
      <c r="AG158" s="514"/>
      <c r="AH158" s="514"/>
      <c r="AI158" s="514"/>
      <c r="AJ158" s="514"/>
      <c r="AK158" s="514"/>
      <c r="AL158" s="487"/>
      <c r="AM158" s="514"/>
      <c r="AN158" s="514"/>
      <c r="AO158" s="514"/>
      <c r="AP158" s="514"/>
      <c r="AQ158" s="487"/>
      <c r="AR158" s="487"/>
      <c r="AS158" s="514"/>
      <c r="AT158" s="488"/>
      <c r="AU158" s="523"/>
      <c r="AV158" s="516"/>
      <c r="AW158" s="488"/>
      <c r="AX158" s="28"/>
      <c r="AY158" s="10"/>
    </row>
    <row r="159" spans="1:51" ht="14.25">
      <c r="A159" s="40"/>
      <c r="B159" s="12"/>
      <c r="C159" s="12" t="s">
        <v>1696</v>
      </c>
      <c r="D159" s="455" t="s">
        <v>1718</v>
      </c>
      <c r="E159" s="455"/>
      <c r="F159" s="455" t="s">
        <v>1726</v>
      </c>
      <c r="G159" s="41" t="s">
        <v>476</v>
      </c>
      <c r="H159" s="646"/>
      <c r="I159" s="482"/>
      <c r="J159" s="456" t="str">
        <f>"EXTRA PARA HOURS "</f>
        <v xml:space="preserve">EXTRA PARA HOURS </v>
      </c>
      <c r="K159" s="457"/>
      <c r="L159" s="103"/>
      <c r="M159" s="458"/>
      <c r="N159" s="81"/>
      <c r="O159" s="483"/>
      <c r="P159" s="484"/>
      <c r="Q159" s="484"/>
      <c r="R159" s="484"/>
      <c r="S159" s="485"/>
      <c r="T159" s="486"/>
      <c r="U159" s="514"/>
      <c r="V159" s="514"/>
      <c r="W159" s="514"/>
      <c r="X159" s="514"/>
      <c r="Y159" s="514"/>
      <c r="Z159" s="514"/>
      <c r="AA159" s="514"/>
      <c r="AB159" s="514"/>
      <c r="AC159" s="514"/>
      <c r="AD159" s="514"/>
      <c r="AE159" s="514"/>
      <c r="AF159" s="514"/>
      <c r="AG159" s="514"/>
      <c r="AH159" s="514"/>
      <c r="AI159" s="514"/>
      <c r="AJ159" s="514"/>
      <c r="AK159" s="514"/>
      <c r="AL159" s="514"/>
      <c r="AM159" s="514"/>
      <c r="AN159" s="514"/>
      <c r="AO159" s="514"/>
      <c r="AP159" s="514"/>
      <c r="AQ159" s="514"/>
      <c r="AR159" s="514"/>
      <c r="AS159" s="514"/>
      <c r="AT159" s="515"/>
      <c r="AU159" s="523"/>
      <c r="AV159" s="516"/>
      <c r="AW159" s="515"/>
      <c r="AX159" s="28"/>
      <c r="AY159" s="10"/>
    </row>
    <row r="160" spans="1:51" ht="14.25">
      <c r="A160" s="40"/>
      <c r="B160" s="12"/>
      <c r="C160" s="12" t="s">
        <v>1696</v>
      </c>
      <c r="D160" s="455" t="s">
        <v>1718</v>
      </c>
      <c r="E160" s="455"/>
      <c r="F160" s="455" t="s">
        <v>1726</v>
      </c>
      <c r="G160" s="41" t="s">
        <v>1724</v>
      </c>
      <c r="H160" s="646"/>
      <c r="I160" s="482"/>
      <c r="J160" s="456" t="str">
        <f>"EXTRA PARA HOURS - BENEFITS"</f>
        <v>EXTRA PARA HOURS - BENEFITS</v>
      </c>
      <c r="K160" s="457"/>
      <c r="L160" s="103"/>
      <c r="M160" s="458"/>
      <c r="N160" s="81"/>
      <c r="O160" s="483"/>
      <c r="P160" s="484"/>
      <c r="Q160" s="484"/>
      <c r="R160" s="484"/>
      <c r="S160" s="485"/>
      <c r="T160" s="486"/>
      <c r="U160" s="487"/>
      <c r="V160" s="487"/>
      <c r="W160" s="487"/>
      <c r="X160" s="487"/>
      <c r="Y160" s="514"/>
      <c r="Z160" s="514"/>
      <c r="AA160" s="514"/>
      <c r="AB160" s="514"/>
      <c r="AC160" s="514"/>
      <c r="AD160" s="514"/>
      <c r="AE160" s="514"/>
      <c r="AF160" s="514"/>
      <c r="AG160" s="514"/>
      <c r="AH160" s="514"/>
      <c r="AI160" s="514"/>
      <c r="AJ160" s="514"/>
      <c r="AK160" s="514"/>
      <c r="AL160" s="487"/>
      <c r="AM160" s="514"/>
      <c r="AN160" s="514"/>
      <c r="AO160" s="514"/>
      <c r="AP160" s="514"/>
      <c r="AQ160" s="487"/>
      <c r="AR160" s="487"/>
      <c r="AS160" s="514"/>
      <c r="AT160" s="488"/>
      <c r="AU160" s="523"/>
      <c r="AV160" s="516"/>
      <c r="AW160" s="488"/>
      <c r="AX160" s="28"/>
      <c r="AY160" s="10"/>
    </row>
    <row r="161" spans="1:51" ht="14.25">
      <c r="A161" s="40"/>
      <c r="B161" s="12"/>
      <c r="C161" s="12" t="s">
        <v>1696</v>
      </c>
      <c r="D161" s="455" t="s">
        <v>1718</v>
      </c>
      <c r="E161" s="455"/>
      <c r="F161" s="455" t="s">
        <v>1694</v>
      </c>
      <c r="G161" s="41" t="s">
        <v>1727</v>
      </c>
      <c r="H161" s="646"/>
      <c r="I161" s="482"/>
      <c r="J161" s="456" t="s">
        <v>1728</v>
      </c>
      <c r="K161" s="457"/>
      <c r="L161" s="103"/>
      <c r="M161" s="458"/>
      <c r="N161" s="81"/>
      <c r="O161" s="483"/>
      <c r="P161" s="484"/>
      <c r="Q161" s="484"/>
      <c r="R161" s="484"/>
      <c r="S161" s="485"/>
      <c r="T161" s="486"/>
      <c r="U161" s="514"/>
      <c r="V161" s="514"/>
      <c r="W161" s="514"/>
      <c r="X161" s="514"/>
      <c r="Y161" s="514"/>
      <c r="Z161" s="514"/>
      <c r="AA161" s="514"/>
      <c r="AB161" s="514"/>
      <c r="AC161" s="514"/>
      <c r="AD161" s="514"/>
      <c r="AE161" s="514"/>
      <c r="AF161" s="514"/>
      <c r="AG161" s="514"/>
      <c r="AH161" s="514"/>
      <c r="AI161" s="514"/>
      <c r="AJ161" s="514"/>
      <c r="AK161" s="514"/>
      <c r="AL161" s="514"/>
      <c r="AM161" s="514"/>
      <c r="AN161" s="514"/>
      <c r="AO161" s="514"/>
      <c r="AP161" s="514"/>
      <c r="AQ161" s="514"/>
      <c r="AR161" s="514"/>
      <c r="AS161" s="514"/>
      <c r="AT161" s="515"/>
      <c r="AU161" s="523"/>
      <c r="AV161" s="516"/>
      <c r="AW161" s="515"/>
      <c r="AX161" s="28"/>
      <c r="AY161" s="10"/>
    </row>
    <row r="162" spans="1:51" ht="14.25">
      <c r="A162" s="40"/>
      <c r="B162" s="12"/>
      <c r="C162" s="12" t="s">
        <v>1696</v>
      </c>
      <c r="D162" s="455" t="s">
        <v>1718</v>
      </c>
      <c r="E162" s="455"/>
      <c r="F162" s="455" t="s">
        <v>1694</v>
      </c>
      <c r="G162" s="41" t="s">
        <v>1703</v>
      </c>
      <c r="H162" s="646"/>
      <c r="I162" s="482"/>
      <c r="J162" s="456" t="s">
        <v>342</v>
      </c>
      <c r="K162" s="457"/>
      <c r="L162" s="103"/>
      <c r="M162" s="458"/>
      <c r="N162" s="81"/>
      <c r="O162" s="483"/>
      <c r="P162" s="484"/>
      <c r="Q162" s="484"/>
      <c r="R162" s="484"/>
      <c r="S162" s="485"/>
      <c r="T162" s="486"/>
      <c r="U162" s="514"/>
      <c r="V162" s="514"/>
      <c r="W162" s="514"/>
      <c r="X162" s="514"/>
      <c r="Y162" s="514"/>
      <c r="Z162" s="514"/>
      <c r="AA162" s="514"/>
      <c r="AB162" s="514"/>
      <c r="AC162" s="514"/>
      <c r="AD162" s="514"/>
      <c r="AE162" s="514"/>
      <c r="AF162" s="514"/>
      <c r="AG162" s="514"/>
      <c r="AH162" s="514"/>
      <c r="AI162" s="514"/>
      <c r="AJ162" s="514"/>
      <c r="AK162" s="514"/>
      <c r="AL162" s="514"/>
      <c r="AM162" s="514"/>
      <c r="AN162" s="514"/>
      <c r="AO162" s="514"/>
      <c r="AP162" s="514"/>
      <c r="AQ162" s="514"/>
      <c r="AR162" s="514"/>
      <c r="AS162" s="514"/>
      <c r="AT162" s="515"/>
      <c r="AU162" s="523"/>
      <c r="AV162" s="516"/>
      <c r="AW162" s="515"/>
      <c r="AX162" s="28"/>
      <c r="AY162" s="10"/>
    </row>
    <row r="163" spans="1:51" ht="14.25">
      <c r="A163" s="40"/>
      <c r="B163" s="12"/>
      <c r="C163" s="12" t="s">
        <v>1696</v>
      </c>
      <c r="D163" s="455" t="s">
        <v>1718</v>
      </c>
      <c r="E163" s="455"/>
      <c r="F163" s="455" t="s">
        <v>1694</v>
      </c>
      <c r="G163" s="41" t="s">
        <v>1729</v>
      </c>
      <c r="H163" s="646"/>
      <c r="I163" s="482"/>
      <c r="J163" s="456" t="s">
        <v>1730</v>
      </c>
      <c r="K163" s="457"/>
      <c r="L163" s="103"/>
      <c r="M163" s="458"/>
      <c r="N163" s="81"/>
      <c r="O163" s="483"/>
      <c r="P163" s="484"/>
      <c r="Q163" s="484"/>
      <c r="R163" s="484"/>
      <c r="S163" s="485"/>
      <c r="T163" s="486"/>
      <c r="U163" s="514"/>
      <c r="V163" s="514"/>
      <c r="W163" s="514"/>
      <c r="X163" s="514"/>
      <c r="Y163" s="514"/>
      <c r="Z163" s="514"/>
      <c r="AA163" s="514"/>
      <c r="AB163" s="514"/>
      <c r="AC163" s="514"/>
      <c r="AD163" s="514"/>
      <c r="AE163" s="514"/>
      <c r="AF163" s="514"/>
      <c r="AG163" s="514"/>
      <c r="AH163" s="514"/>
      <c r="AI163" s="514"/>
      <c r="AJ163" s="514"/>
      <c r="AK163" s="514"/>
      <c r="AL163" s="514"/>
      <c r="AM163" s="514"/>
      <c r="AN163" s="514"/>
      <c r="AO163" s="514"/>
      <c r="AP163" s="514"/>
      <c r="AQ163" s="514"/>
      <c r="AR163" s="514"/>
      <c r="AS163" s="514"/>
      <c r="AT163" s="515"/>
      <c r="AU163" s="523"/>
      <c r="AV163" s="516"/>
      <c r="AW163" s="515"/>
      <c r="AX163" s="28"/>
      <c r="AY163" s="10"/>
    </row>
    <row r="164" spans="1:51" ht="14.25">
      <c r="A164" s="40"/>
      <c r="B164" s="12"/>
      <c r="C164" s="12" t="s">
        <v>1696</v>
      </c>
      <c r="D164" s="455" t="s">
        <v>1718</v>
      </c>
      <c r="E164" s="455"/>
      <c r="F164" s="455" t="s">
        <v>1694</v>
      </c>
      <c r="G164" s="41" t="s">
        <v>1731</v>
      </c>
      <c r="H164" s="646"/>
      <c r="I164" s="482"/>
      <c r="J164" s="456" t="s">
        <v>1732</v>
      </c>
      <c r="K164" s="457"/>
      <c r="L164" s="103"/>
      <c r="M164" s="458"/>
      <c r="N164" s="81"/>
      <c r="O164" s="483"/>
      <c r="P164" s="484"/>
      <c r="Q164" s="484"/>
      <c r="R164" s="484"/>
      <c r="S164" s="485"/>
      <c r="T164" s="486"/>
      <c r="U164" s="514"/>
      <c r="V164" s="514"/>
      <c r="W164" s="514"/>
      <c r="X164" s="514"/>
      <c r="Y164" s="514"/>
      <c r="Z164" s="514"/>
      <c r="AA164" s="514"/>
      <c r="AB164" s="514"/>
      <c r="AC164" s="514"/>
      <c r="AD164" s="514"/>
      <c r="AE164" s="514"/>
      <c r="AF164" s="514"/>
      <c r="AG164" s="514"/>
      <c r="AH164" s="514"/>
      <c r="AI164" s="514"/>
      <c r="AJ164" s="514"/>
      <c r="AK164" s="514"/>
      <c r="AL164" s="514"/>
      <c r="AM164" s="514"/>
      <c r="AN164" s="514"/>
      <c r="AO164" s="514"/>
      <c r="AP164" s="514"/>
      <c r="AQ164" s="514"/>
      <c r="AR164" s="514"/>
      <c r="AS164" s="514"/>
      <c r="AT164" s="515"/>
      <c r="AU164" s="523"/>
      <c r="AV164" s="516"/>
      <c r="AW164" s="515"/>
      <c r="AX164" s="28"/>
      <c r="AY164" s="10"/>
    </row>
    <row r="165" spans="1:51" ht="14.25">
      <c r="A165" s="40"/>
      <c r="B165" s="12"/>
      <c r="C165" s="12" t="s">
        <v>1696</v>
      </c>
      <c r="D165" s="455" t="s">
        <v>1718</v>
      </c>
      <c r="E165" s="455"/>
      <c r="F165" s="455" t="s">
        <v>1694</v>
      </c>
      <c r="G165" s="41" t="s">
        <v>1705</v>
      </c>
      <c r="H165" s="646"/>
      <c r="I165" s="482"/>
      <c r="J165" s="456" t="s">
        <v>344</v>
      </c>
      <c r="K165" s="457"/>
      <c r="L165" s="103"/>
      <c r="M165" s="458"/>
      <c r="N165" s="81"/>
      <c r="O165" s="483"/>
      <c r="P165" s="484"/>
      <c r="Q165" s="484"/>
      <c r="R165" s="484"/>
      <c r="S165" s="485"/>
      <c r="T165" s="486"/>
      <c r="U165" s="514"/>
      <c r="V165" s="514"/>
      <c r="W165" s="514"/>
      <c r="X165" s="514"/>
      <c r="Y165" s="514"/>
      <c r="Z165" s="514"/>
      <c r="AA165" s="514"/>
      <c r="AB165" s="514"/>
      <c r="AC165" s="514"/>
      <c r="AD165" s="514"/>
      <c r="AE165" s="514"/>
      <c r="AF165" s="514"/>
      <c r="AG165" s="514"/>
      <c r="AH165" s="514"/>
      <c r="AI165" s="514"/>
      <c r="AJ165" s="514"/>
      <c r="AK165" s="514"/>
      <c r="AL165" s="514"/>
      <c r="AM165" s="514"/>
      <c r="AN165" s="514"/>
      <c r="AO165" s="514"/>
      <c r="AP165" s="514"/>
      <c r="AQ165" s="514"/>
      <c r="AR165" s="514"/>
      <c r="AS165" s="514"/>
      <c r="AT165" s="515"/>
      <c r="AU165" s="523"/>
      <c r="AV165" s="516"/>
      <c r="AW165" s="515"/>
      <c r="AX165" s="28"/>
      <c r="AY165" s="10"/>
    </row>
    <row r="166" spans="1:51" ht="14.25">
      <c r="A166" s="40"/>
      <c r="B166" s="12"/>
      <c r="C166" s="12" t="s">
        <v>1696</v>
      </c>
      <c r="D166" s="455" t="s">
        <v>1718</v>
      </c>
      <c r="E166" s="455"/>
      <c r="F166" s="455" t="s">
        <v>1694</v>
      </c>
      <c r="G166" s="41" t="s">
        <v>1733</v>
      </c>
      <c r="H166" s="646"/>
      <c r="I166" s="482"/>
      <c r="J166" s="456" t="s">
        <v>1734</v>
      </c>
      <c r="K166" s="457"/>
      <c r="L166" s="103"/>
      <c r="M166" s="458"/>
      <c r="N166" s="81"/>
      <c r="O166" s="483"/>
      <c r="P166" s="484"/>
      <c r="Q166" s="484"/>
      <c r="R166" s="484"/>
      <c r="S166" s="485"/>
      <c r="T166" s="486"/>
      <c r="U166" s="514"/>
      <c r="V166" s="514"/>
      <c r="W166" s="514"/>
      <c r="X166" s="514"/>
      <c r="Y166" s="514"/>
      <c r="Z166" s="514"/>
      <c r="AA166" s="514"/>
      <c r="AB166" s="514"/>
      <c r="AC166" s="514"/>
      <c r="AD166" s="514"/>
      <c r="AE166" s="514"/>
      <c r="AF166" s="514"/>
      <c r="AG166" s="514"/>
      <c r="AH166" s="514"/>
      <c r="AI166" s="514"/>
      <c r="AJ166" s="514"/>
      <c r="AK166" s="514"/>
      <c r="AL166" s="514"/>
      <c r="AM166" s="514"/>
      <c r="AN166" s="514"/>
      <c r="AO166" s="514"/>
      <c r="AP166" s="514"/>
      <c r="AQ166" s="514"/>
      <c r="AR166" s="514"/>
      <c r="AS166" s="514"/>
      <c r="AT166" s="515"/>
      <c r="AU166" s="523"/>
      <c r="AV166" s="516"/>
      <c r="AW166" s="515"/>
      <c r="AX166" s="28"/>
      <c r="AY166" s="10"/>
    </row>
    <row r="167" spans="1:51" ht="14.25">
      <c r="A167" s="40"/>
      <c r="B167" s="12"/>
      <c r="C167" s="12" t="s">
        <v>1696</v>
      </c>
      <c r="D167" s="455" t="s">
        <v>1718</v>
      </c>
      <c r="E167" s="455"/>
      <c r="F167" s="455" t="s">
        <v>1694</v>
      </c>
      <c r="G167" s="41" t="s">
        <v>1735</v>
      </c>
      <c r="H167" s="646"/>
      <c r="I167" s="482"/>
      <c r="J167" s="456" t="s">
        <v>1736</v>
      </c>
      <c r="K167" s="457"/>
      <c r="L167" s="103"/>
      <c r="M167" s="458"/>
      <c r="N167" s="81"/>
      <c r="O167" s="483"/>
      <c r="P167" s="484"/>
      <c r="Q167" s="484"/>
      <c r="R167" s="484"/>
      <c r="S167" s="485"/>
      <c r="T167" s="486"/>
      <c r="U167" s="514"/>
      <c r="V167" s="514"/>
      <c r="W167" s="514"/>
      <c r="X167" s="514"/>
      <c r="Y167" s="514"/>
      <c r="Z167" s="514"/>
      <c r="AA167" s="514"/>
      <c r="AB167" s="514"/>
      <c r="AC167" s="514"/>
      <c r="AD167" s="514"/>
      <c r="AE167" s="514"/>
      <c r="AF167" s="514"/>
      <c r="AG167" s="514"/>
      <c r="AH167" s="514"/>
      <c r="AI167" s="514"/>
      <c r="AJ167" s="514"/>
      <c r="AK167" s="514"/>
      <c r="AL167" s="514"/>
      <c r="AM167" s="514"/>
      <c r="AN167" s="514"/>
      <c r="AO167" s="514"/>
      <c r="AP167" s="514"/>
      <c r="AQ167" s="514"/>
      <c r="AR167" s="514"/>
      <c r="AS167" s="514"/>
      <c r="AT167" s="515"/>
      <c r="AU167" s="523"/>
      <c r="AV167" s="516"/>
      <c r="AW167" s="515"/>
      <c r="AX167" s="28"/>
      <c r="AY167" s="10"/>
    </row>
    <row r="168" spans="1:51" ht="14.25">
      <c r="A168" s="40"/>
      <c r="B168" s="12"/>
      <c r="C168" s="12" t="s">
        <v>1696</v>
      </c>
      <c r="D168" s="455" t="s">
        <v>1718</v>
      </c>
      <c r="E168" s="455"/>
      <c r="F168" s="455" t="s">
        <v>1694</v>
      </c>
      <c r="G168" s="41" t="s">
        <v>638</v>
      </c>
      <c r="H168" s="646"/>
      <c r="I168" s="482"/>
      <c r="J168" s="456" t="s">
        <v>336</v>
      </c>
      <c r="K168" s="457"/>
      <c r="L168" s="103"/>
      <c r="M168" s="458"/>
      <c r="N168" s="81"/>
      <c r="O168" s="483"/>
      <c r="P168" s="484"/>
      <c r="Q168" s="484"/>
      <c r="R168" s="484"/>
      <c r="S168" s="485"/>
      <c r="T168" s="486"/>
      <c r="U168" s="514"/>
      <c r="V168" s="514"/>
      <c r="W168" s="514"/>
      <c r="X168" s="514"/>
      <c r="Y168" s="514"/>
      <c r="Z168" s="514"/>
      <c r="AA168" s="514"/>
      <c r="AB168" s="514"/>
      <c r="AC168" s="514"/>
      <c r="AD168" s="514"/>
      <c r="AE168" s="514"/>
      <c r="AF168" s="514"/>
      <c r="AG168" s="514"/>
      <c r="AH168" s="514"/>
      <c r="AI168" s="514"/>
      <c r="AJ168" s="514"/>
      <c r="AK168" s="514"/>
      <c r="AL168" s="514"/>
      <c r="AM168" s="514"/>
      <c r="AN168" s="514"/>
      <c r="AO168" s="514"/>
      <c r="AP168" s="514"/>
      <c r="AQ168" s="514"/>
      <c r="AR168" s="514"/>
      <c r="AS168" s="514"/>
      <c r="AT168" s="515"/>
      <c r="AU168" s="523"/>
      <c r="AV168" s="516"/>
      <c r="AW168" s="515"/>
      <c r="AX168" s="28"/>
      <c r="AY168" s="10"/>
    </row>
    <row r="169" spans="1:51" ht="14.25">
      <c r="A169" s="40"/>
      <c r="B169" s="12"/>
      <c r="C169" s="12" t="s">
        <v>1696</v>
      </c>
      <c r="D169" s="455" t="s">
        <v>1718</v>
      </c>
      <c r="E169" s="455"/>
      <c r="F169" s="455" t="s">
        <v>1694</v>
      </c>
      <c r="G169" s="41" t="s">
        <v>1698</v>
      </c>
      <c r="H169" s="646"/>
      <c r="I169" s="482"/>
      <c r="J169" s="456" t="s">
        <v>338</v>
      </c>
      <c r="K169" s="457"/>
      <c r="L169" s="103"/>
      <c r="M169" s="458"/>
      <c r="N169" s="81"/>
      <c r="O169" s="483"/>
      <c r="P169" s="484"/>
      <c r="Q169" s="484"/>
      <c r="R169" s="484"/>
      <c r="S169" s="485"/>
      <c r="T169" s="486"/>
      <c r="U169" s="514"/>
      <c r="V169" s="514"/>
      <c r="W169" s="514"/>
      <c r="X169" s="514"/>
      <c r="Y169" s="514"/>
      <c r="Z169" s="514"/>
      <c r="AA169" s="514"/>
      <c r="AB169" s="514"/>
      <c r="AC169" s="514"/>
      <c r="AD169" s="514"/>
      <c r="AE169" s="514"/>
      <c r="AF169" s="514"/>
      <c r="AG169" s="514"/>
      <c r="AH169" s="514"/>
      <c r="AI169" s="514"/>
      <c r="AJ169" s="514"/>
      <c r="AK169" s="514"/>
      <c r="AL169" s="514"/>
      <c r="AM169" s="514"/>
      <c r="AN169" s="514"/>
      <c r="AO169" s="514"/>
      <c r="AP169" s="514"/>
      <c r="AQ169" s="514"/>
      <c r="AR169" s="514"/>
      <c r="AS169" s="514"/>
      <c r="AT169" s="515"/>
      <c r="AU169" s="523"/>
      <c r="AV169" s="516"/>
      <c r="AW169" s="515"/>
      <c r="AX169" s="28"/>
      <c r="AY169" s="10"/>
    </row>
    <row r="170" spans="1:51" ht="14.25">
      <c r="A170" s="40"/>
      <c r="B170" s="12"/>
      <c r="C170" s="12" t="s">
        <v>1696</v>
      </c>
      <c r="D170" s="455" t="s">
        <v>1718</v>
      </c>
      <c r="E170" s="455"/>
      <c r="F170" s="455" t="s">
        <v>1694</v>
      </c>
      <c r="G170" s="41" t="s">
        <v>1702</v>
      </c>
      <c r="H170" s="646"/>
      <c r="I170" s="482"/>
      <c r="J170" s="456" t="s">
        <v>341</v>
      </c>
      <c r="K170" s="457"/>
      <c r="L170" s="103"/>
      <c r="M170" s="458"/>
      <c r="N170" s="81"/>
      <c r="O170" s="483"/>
      <c r="P170" s="484"/>
      <c r="Q170" s="484"/>
      <c r="R170" s="484"/>
      <c r="S170" s="485"/>
      <c r="T170" s="486"/>
      <c r="U170" s="514"/>
      <c r="V170" s="514"/>
      <c r="W170" s="514"/>
      <c r="X170" s="514"/>
      <c r="Y170" s="514"/>
      <c r="Z170" s="514"/>
      <c r="AA170" s="514"/>
      <c r="AB170" s="514"/>
      <c r="AC170" s="514"/>
      <c r="AD170" s="514"/>
      <c r="AE170" s="514"/>
      <c r="AF170" s="514"/>
      <c r="AG170" s="514"/>
      <c r="AH170" s="514"/>
      <c r="AI170" s="514"/>
      <c r="AJ170" s="514"/>
      <c r="AK170" s="514"/>
      <c r="AL170" s="514"/>
      <c r="AM170" s="514"/>
      <c r="AN170" s="514"/>
      <c r="AO170" s="514"/>
      <c r="AP170" s="514"/>
      <c r="AQ170" s="514"/>
      <c r="AR170" s="514"/>
      <c r="AS170" s="514"/>
      <c r="AT170" s="515"/>
      <c r="AU170" s="523"/>
      <c r="AV170" s="516"/>
      <c r="AW170" s="515"/>
      <c r="AX170" s="28"/>
      <c r="AY170" s="10"/>
    </row>
    <row r="171" spans="1:51" ht="14.25">
      <c r="A171" s="40"/>
      <c r="B171" s="12"/>
      <c r="C171" s="12" t="s">
        <v>1696</v>
      </c>
      <c r="D171" s="455" t="s">
        <v>1718</v>
      </c>
      <c r="E171" s="455"/>
      <c r="F171" s="455" t="s">
        <v>1694</v>
      </c>
      <c r="G171" s="41" t="s">
        <v>1706</v>
      </c>
      <c r="H171" s="646"/>
      <c r="I171" s="482"/>
      <c r="J171" s="456" t="s">
        <v>1707</v>
      </c>
      <c r="K171" s="457"/>
      <c r="L171" s="103"/>
      <c r="M171" s="458"/>
      <c r="N171" s="81"/>
      <c r="O171" s="483"/>
      <c r="P171" s="484"/>
      <c r="Q171" s="484"/>
      <c r="R171" s="484"/>
      <c r="S171" s="485"/>
      <c r="T171" s="486"/>
      <c r="U171" s="514"/>
      <c r="V171" s="514"/>
      <c r="W171" s="514"/>
      <c r="X171" s="514"/>
      <c r="Y171" s="514"/>
      <c r="Z171" s="514"/>
      <c r="AA171" s="514"/>
      <c r="AB171" s="514"/>
      <c r="AC171" s="514"/>
      <c r="AD171" s="514"/>
      <c r="AE171" s="514"/>
      <c r="AF171" s="514"/>
      <c r="AG171" s="514"/>
      <c r="AH171" s="514"/>
      <c r="AI171" s="514"/>
      <c r="AJ171" s="514"/>
      <c r="AK171" s="514"/>
      <c r="AL171" s="514"/>
      <c r="AM171" s="514"/>
      <c r="AN171" s="514"/>
      <c r="AO171" s="514"/>
      <c r="AP171" s="514"/>
      <c r="AQ171" s="514"/>
      <c r="AR171" s="514"/>
      <c r="AS171" s="514"/>
      <c r="AT171" s="515"/>
      <c r="AU171" s="523"/>
      <c r="AV171" s="516"/>
      <c r="AW171" s="515"/>
      <c r="AX171" s="28"/>
      <c r="AY171" s="10"/>
    </row>
    <row r="172" spans="1:51" ht="14.25">
      <c r="A172" s="40"/>
      <c r="B172" s="12"/>
      <c r="C172" s="12" t="s">
        <v>1696</v>
      </c>
      <c r="D172" s="455" t="s">
        <v>1718</v>
      </c>
      <c r="E172" s="455"/>
      <c r="F172" s="455" t="s">
        <v>1694</v>
      </c>
      <c r="G172" s="41" t="s">
        <v>1710</v>
      </c>
      <c r="H172" s="646"/>
      <c r="I172" s="489"/>
      <c r="J172" s="462" t="s">
        <v>345</v>
      </c>
      <c r="K172" s="463"/>
      <c r="L172" s="103"/>
      <c r="M172" s="458"/>
      <c r="N172" s="81"/>
      <c r="O172" s="483"/>
      <c r="P172" s="484"/>
      <c r="Q172" s="484"/>
      <c r="R172" s="484"/>
      <c r="S172" s="485"/>
      <c r="T172" s="486"/>
      <c r="U172" s="514"/>
      <c r="V172" s="514"/>
      <c r="W172" s="514"/>
      <c r="X172" s="514"/>
      <c r="Y172" s="514"/>
      <c r="Z172" s="514"/>
      <c r="AA172" s="514"/>
      <c r="AB172" s="514"/>
      <c r="AC172" s="514"/>
      <c r="AD172" s="514"/>
      <c r="AE172" s="514"/>
      <c r="AF172" s="514"/>
      <c r="AG172" s="514"/>
      <c r="AH172" s="514"/>
      <c r="AI172" s="514"/>
      <c r="AJ172" s="514"/>
      <c r="AK172" s="514"/>
      <c r="AL172" s="514"/>
      <c r="AM172" s="514"/>
      <c r="AN172" s="514"/>
      <c r="AO172" s="514"/>
      <c r="AP172" s="514"/>
      <c r="AQ172" s="514"/>
      <c r="AR172" s="514"/>
      <c r="AS172" s="514"/>
      <c r="AT172" s="515"/>
      <c r="AU172" s="523"/>
      <c r="AV172" s="516"/>
      <c r="AW172" s="515"/>
      <c r="AX172" s="28"/>
      <c r="AY172" s="10"/>
    </row>
    <row r="173" spans="1:51" ht="14.25">
      <c r="A173" s="40"/>
      <c r="B173" s="12"/>
      <c r="C173" s="12"/>
      <c r="D173" s="455"/>
      <c r="E173" s="455"/>
      <c r="F173" s="455"/>
      <c r="G173" s="41"/>
      <c r="H173" s="646"/>
      <c r="I173" s="490"/>
      <c r="J173" s="469" t="s">
        <v>1712</v>
      </c>
      <c r="K173" s="470"/>
      <c r="L173" s="103"/>
      <c r="M173" s="458"/>
      <c r="N173" s="81"/>
      <c r="O173" s="483"/>
      <c r="P173" s="484"/>
      <c r="Q173" s="484"/>
      <c r="R173" s="484"/>
      <c r="S173" s="485"/>
      <c r="T173" s="55"/>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335"/>
      <c r="AU173" s="523"/>
      <c r="AV173" s="524"/>
      <c r="AW173" s="335"/>
      <c r="AX173" s="28"/>
      <c r="AY173" s="10"/>
    </row>
    <row r="174" spans="1:51" ht="14.25">
      <c r="A174" s="40"/>
      <c r="B174" s="12"/>
      <c r="C174" s="12" t="s">
        <v>1696</v>
      </c>
      <c r="D174" s="455" t="s">
        <v>1718</v>
      </c>
      <c r="E174" s="455"/>
      <c r="F174" s="455" t="s">
        <v>1694</v>
      </c>
      <c r="G174" s="41"/>
      <c r="H174" s="646"/>
      <c r="I174" s="477"/>
      <c r="J174" s="492"/>
      <c r="K174" s="493"/>
      <c r="L174" s="103"/>
      <c r="M174" s="458"/>
      <c r="N174" s="81"/>
      <c r="O174" s="483"/>
      <c r="P174" s="484"/>
      <c r="Q174" s="484"/>
      <c r="R174" s="484"/>
      <c r="S174" s="485"/>
      <c r="T174" s="486"/>
      <c r="U174" s="514"/>
      <c r="V174" s="514"/>
      <c r="W174" s="514"/>
      <c r="X174" s="514"/>
      <c r="Y174" s="514"/>
      <c r="Z174" s="514"/>
      <c r="AA174" s="514"/>
      <c r="AB174" s="514"/>
      <c r="AC174" s="514"/>
      <c r="AD174" s="514"/>
      <c r="AE174" s="514"/>
      <c r="AF174" s="514"/>
      <c r="AG174" s="514"/>
      <c r="AH174" s="514"/>
      <c r="AI174" s="514"/>
      <c r="AJ174" s="514"/>
      <c r="AK174" s="514"/>
      <c r="AL174" s="514"/>
      <c r="AM174" s="514"/>
      <c r="AN174" s="514"/>
      <c r="AO174" s="514"/>
      <c r="AP174" s="514"/>
      <c r="AQ174" s="514"/>
      <c r="AR174" s="514"/>
      <c r="AS174" s="514"/>
      <c r="AT174" s="515"/>
      <c r="AU174" s="523"/>
      <c r="AV174" s="516"/>
      <c r="AW174" s="515"/>
      <c r="AX174" s="28"/>
      <c r="AY174" s="10"/>
    </row>
    <row r="175" spans="1:51" ht="14.25">
      <c r="A175" s="40"/>
      <c r="B175" s="12"/>
      <c r="C175" s="12" t="s">
        <v>1696</v>
      </c>
      <c r="D175" s="455" t="s">
        <v>1718</v>
      </c>
      <c r="E175" s="455"/>
      <c r="F175" s="455" t="s">
        <v>1694</v>
      </c>
      <c r="G175" s="41"/>
      <c r="H175" s="646"/>
      <c r="I175" s="482"/>
      <c r="J175" s="494"/>
      <c r="K175" s="495"/>
      <c r="L175" s="103"/>
      <c r="M175" s="458"/>
      <c r="N175" s="81"/>
      <c r="O175" s="483"/>
      <c r="P175" s="484"/>
      <c r="Q175" s="484"/>
      <c r="R175" s="484"/>
      <c r="S175" s="485"/>
      <c r="T175" s="486"/>
      <c r="U175" s="514"/>
      <c r="V175" s="514"/>
      <c r="W175" s="514"/>
      <c r="X175" s="514"/>
      <c r="Y175" s="514"/>
      <c r="Z175" s="514"/>
      <c r="AA175" s="514"/>
      <c r="AB175" s="514"/>
      <c r="AC175" s="514"/>
      <c r="AD175" s="514"/>
      <c r="AE175" s="514"/>
      <c r="AF175" s="514"/>
      <c r="AG175" s="514"/>
      <c r="AH175" s="514"/>
      <c r="AI175" s="514"/>
      <c r="AJ175" s="514"/>
      <c r="AK175" s="514"/>
      <c r="AL175" s="514"/>
      <c r="AM175" s="514"/>
      <c r="AN175" s="514"/>
      <c r="AO175" s="514"/>
      <c r="AP175" s="514"/>
      <c r="AQ175" s="514"/>
      <c r="AR175" s="514"/>
      <c r="AS175" s="514"/>
      <c r="AT175" s="515"/>
      <c r="AU175" s="523"/>
      <c r="AV175" s="516"/>
      <c r="AW175" s="515"/>
      <c r="AX175" s="28"/>
      <c r="AY175" s="10"/>
    </row>
    <row r="176" spans="1:51" ht="14.25">
      <c r="A176" s="40"/>
      <c r="B176" s="12"/>
      <c r="C176" s="12" t="s">
        <v>1696</v>
      </c>
      <c r="D176" s="455" t="s">
        <v>1718</v>
      </c>
      <c r="E176" s="455"/>
      <c r="F176" s="455" t="s">
        <v>1694</v>
      </c>
      <c r="G176" s="41"/>
      <c r="H176" s="646"/>
      <c r="I176" s="482"/>
      <c r="J176" s="494"/>
      <c r="K176" s="495"/>
      <c r="L176" s="103"/>
      <c r="M176" s="458"/>
      <c r="N176" s="81"/>
      <c r="O176" s="483"/>
      <c r="P176" s="484"/>
      <c r="Q176" s="484"/>
      <c r="R176" s="484"/>
      <c r="S176" s="485"/>
      <c r="T176" s="486"/>
      <c r="U176" s="514"/>
      <c r="V176" s="514"/>
      <c r="W176" s="514"/>
      <c r="X176" s="514"/>
      <c r="Y176" s="514"/>
      <c r="Z176" s="514"/>
      <c r="AA176" s="514"/>
      <c r="AB176" s="514"/>
      <c r="AC176" s="514"/>
      <c r="AD176" s="514"/>
      <c r="AE176" s="514"/>
      <c r="AF176" s="514"/>
      <c r="AG176" s="514"/>
      <c r="AH176" s="514"/>
      <c r="AI176" s="514"/>
      <c r="AJ176" s="514"/>
      <c r="AK176" s="514"/>
      <c r="AL176" s="514"/>
      <c r="AM176" s="514"/>
      <c r="AN176" s="514"/>
      <c r="AO176" s="514"/>
      <c r="AP176" s="514"/>
      <c r="AQ176" s="514"/>
      <c r="AR176" s="514"/>
      <c r="AS176" s="514"/>
      <c r="AT176" s="515"/>
      <c r="AU176" s="523"/>
      <c r="AV176" s="516"/>
      <c r="AW176" s="515"/>
      <c r="AX176" s="28"/>
      <c r="AY176" s="10"/>
    </row>
    <row r="177" spans="1:51" ht="14.25">
      <c r="A177" s="40"/>
      <c r="B177" s="12"/>
      <c r="C177" s="12" t="s">
        <v>1696</v>
      </c>
      <c r="D177" s="455" t="s">
        <v>1718</v>
      </c>
      <c r="E177" s="455"/>
      <c r="F177" s="455" t="s">
        <v>1694</v>
      </c>
      <c r="G177" s="41"/>
      <c r="H177" s="646"/>
      <c r="I177" s="482"/>
      <c r="J177" s="494"/>
      <c r="K177" s="495"/>
      <c r="L177" s="103"/>
      <c r="M177" s="458"/>
      <c r="N177" s="81"/>
      <c r="O177" s="483"/>
      <c r="P177" s="484"/>
      <c r="Q177" s="484"/>
      <c r="R177" s="484"/>
      <c r="S177" s="485"/>
      <c r="T177" s="486"/>
      <c r="U177" s="514"/>
      <c r="V177" s="514"/>
      <c r="W177" s="514"/>
      <c r="X177" s="514"/>
      <c r="Y177" s="514"/>
      <c r="Z177" s="514"/>
      <c r="AA177" s="514"/>
      <c r="AB177" s="514"/>
      <c r="AC177" s="514"/>
      <c r="AD177" s="514"/>
      <c r="AE177" s="514"/>
      <c r="AF177" s="514"/>
      <c r="AG177" s="514"/>
      <c r="AH177" s="514"/>
      <c r="AI177" s="514"/>
      <c r="AJ177" s="514"/>
      <c r="AK177" s="514"/>
      <c r="AL177" s="514"/>
      <c r="AM177" s="514"/>
      <c r="AN177" s="514"/>
      <c r="AO177" s="514"/>
      <c r="AP177" s="514"/>
      <c r="AQ177" s="514"/>
      <c r="AR177" s="514"/>
      <c r="AS177" s="514"/>
      <c r="AT177" s="515"/>
      <c r="AU177" s="523"/>
      <c r="AV177" s="516"/>
      <c r="AW177" s="515"/>
      <c r="AX177" s="28"/>
      <c r="AY177" s="10"/>
    </row>
    <row r="178" spans="1:51" ht="14.25">
      <c r="A178" s="40"/>
      <c r="B178" s="12"/>
      <c r="C178" s="12" t="s">
        <v>1696</v>
      </c>
      <c r="D178" s="455" t="s">
        <v>1718</v>
      </c>
      <c r="E178" s="455"/>
      <c r="F178" s="455" t="s">
        <v>1694</v>
      </c>
      <c r="G178" s="41"/>
      <c r="H178" s="646"/>
      <c r="I178" s="482"/>
      <c r="J178" s="494"/>
      <c r="K178" s="495"/>
      <c r="L178" s="103"/>
      <c r="M178" s="458"/>
      <c r="N178" s="81"/>
      <c r="O178" s="483"/>
      <c r="P178" s="484"/>
      <c r="Q178" s="484"/>
      <c r="R178" s="484"/>
      <c r="S178" s="485"/>
      <c r="T178" s="486"/>
      <c r="U178" s="514"/>
      <c r="V178" s="514"/>
      <c r="W178" s="514"/>
      <c r="X178" s="514"/>
      <c r="Y178" s="514"/>
      <c r="Z178" s="514"/>
      <c r="AA178" s="514"/>
      <c r="AB178" s="514"/>
      <c r="AC178" s="514"/>
      <c r="AD178" s="514"/>
      <c r="AE178" s="514"/>
      <c r="AF178" s="514"/>
      <c r="AG178" s="514"/>
      <c r="AH178" s="514"/>
      <c r="AI178" s="514"/>
      <c r="AJ178" s="514"/>
      <c r="AK178" s="514"/>
      <c r="AL178" s="514"/>
      <c r="AM178" s="514"/>
      <c r="AN178" s="514"/>
      <c r="AO178" s="514"/>
      <c r="AP178" s="514"/>
      <c r="AQ178" s="514"/>
      <c r="AR178" s="514"/>
      <c r="AS178" s="514"/>
      <c r="AT178" s="515"/>
      <c r="AU178" s="523"/>
      <c r="AV178" s="516"/>
      <c r="AW178" s="515"/>
      <c r="AX178" s="28"/>
      <c r="AY178" s="10"/>
    </row>
    <row r="179" spans="1:51" ht="14.25">
      <c r="A179" s="45"/>
      <c r="B179" s="46"/>
      <c r="C179" s="46" t="s">
        <v>1696</v>
      </c>
      <c r="D179" s="476" t="s">
        <v>1718</v>
      </c>
      <c r="E179" s="476"/>
      <c r="F179" s="476" t="s">
        <v>1694</v>
      </c>
      <c r="G179" s="47"/>
      <c r="H179" s="646"/>
      <c r="I179" s="489"/>
      <c r="J179" s="496"/>
      <c r="K179" s="497"/>
      <c r="L179" s="103"/>
      <c r="M179" s="464"/>
      <c r="N179" s="81"/>
      <c r="O179" s="498"/>
      <c r="P179" s="499"/>
      <c r="Q179" s="499"/>
      <c r="R179" s="499"/>
      <c r="S179" s="500"/>
      <c r="T179" s="503"/>
      <c r="U179" s="519"/>
      <c r="V179" s="519"/>
      <c r="W179" s="519"/>
      <c r="X179" s="519"/>
      <c r="Y179" s="519"/>
      <c r="Z179" s="519"/>
      <c r="AA179" s="519"/>
      <c r="AB179" s="519"/>
      <c r="AC179" s="519"/>
      <c r="AD179" s="519"/>
      <c r="AE179" s="519"/>
      <c r="AF179" s="519"/>
      <c r="AG179" s="519"/>
      <c r="AH179" s="519"/>
      <c r="AI179" s="519"/>
      <c r="AJ179" s="519"/>
      <c r="AK179" s="519"/>
      <c r="AL179" s="519"/>
      <c r="AM179" s="519"/>
      <c r="AN179" s="519"/>
      <c r="AO179" s="519"/>
      <c r="AP179" s="519"/>
      <c r="AQ179" s="519"/>
      <c r="AR179" s="519"/>
      <c r="AS179" s="519"/>
      <c r="AT179" s="520"/>
      <c r="AU179" s="523"/>
      <c r="AV179" s="521"/>
      <c r="AW179" s="520"/>
      <c r="AX179" s="28"/>
      <c r="AY179" s="10"/>
    </row>
    <row r="180" spans="1:51" ht="14.25">
      <c r="A180" s="92"/>
      <c r="B180" s="92"/>
      <c r="C180" s="92"/>
      <c r="D180" s="91"/>
      <c r="E180" s="91"/>
      <c r="F180" s="91"/>
      <c r="G180" s="159"/>
      <c r="H180" s="647"/>
      <c r="I180" s="490"/>
      <c r="J180" s="469" t="s">
        <v>1737</v>
      </c>
      <c r="K180" s="525"/>
      <c r="L180" s="103"/>
      <c r="M180" s="471"/>
      <c r="N180" s="81"/>
      <c r="O180" s="526">
        <f t="shared" ref="O180:AW180" si="9">SUM(O139:O179)</f>
        <v>0</v>
      </c>
      <c r="P180" s="527">
        <f t="shared" si="9"/>
        <v>0</v>
      </c>
      <c r="Q180" s="527">
        <f t="shared" si="9"/>
        <v>0</v>
      </c>
      <c r="R180" s="527">
        <f t="shared" si="9"/>
        <v>0</v>
      </c>
      <c r="S180" s="527">
        <f t="shared" si="9"/>
        <v>0</v>
      </c>
      <c r="T180" s="473">
        <f t="shared" si="9"/>
        <v>0</v>
      </c>
      <c r="U180" s="473">
        <f t="shared" si="9"/>
        <v>0</v>
      </c>
      <c r="V180" s="473">
        <f t="shared" si="9"/>
        <v>0</v>
      </c>
      <c r="W180" s="473">
        <f t="shared" si="9"/>
        <v>0</v>
      </c>
      <c r="X180" s="473">
        <f t="shared" si="9"/>
        <v>0</v>
      </c>
      <c r="Y180" s="473">
        <f t="shared" si="9"/>
        <v>0</v>
      </c>
      <c r="Z180" s="473">
        <f t="shared" si="9"/>
        <v>0</v>
      </c>
      <c r="AA180" s="473">
        <f t="shared" si="9"/>
        <v>0</v>
      </c>
      <c r="AB180" s="473">
        <f t="shared" si="9"/>
        <v>0</v>
      </c>
      <c r="AC180" s="473">
        <f t="shared" si="9"/>
        <v>0</v>
      </c>
      <c r="AD180" s="473">
        <f t="shared" si="9"/>
        <v>0</v>
      </c>
      <c r="AE180" s="473">
        <f t="shared" si="9"/>
        <v>0</v>
      </c>
      <c r="AF180" s="473">
        <f t="shared" si="9"/>
        <v>0</v>
      </c>
      <c r="AG180" s="473">
        <f t="shared" si="9"/>
        <v>0</v>
      </c>
      <c r="AH180" s="473">
        <f t="shared" si="9"/>
        <v>0</v>
      </c>
      <c r="AI180" s="473">
        <f t="shared" si="9"/>
        <v>0</v>
      </c>
      <c r="AJ180" s="473">
        <f t="shared" si="9"/>
        <v>0</v>
      </c>
      <c r="AK180" s="473">
        <f t="shared" si="9"/>
        <v>0</v>
      </c>
      <c r="AL180" s="473">
        <f t="shared" si="9"/>
        <v>0</v>
      </c>
      <c r="AM180" s="473">
        <f t="shared" si="9"/>
        <v>0</v>
      </c>
      <c r="AN180" s="473">
        <f t="shared" si="9"/>
        <v>0</v>
      </c>
      <c r="AO180" s="473">
        <f t="shared" si="9"/>
        <v>0</v>
      </c>
      <c r="AP180" s="473">
        <f t="shared" si="9"/>
        <v>0</v>
      </c>
      <c r="AQ180" s="473">
        <f t="shared" si="9"/>
        <v>0</v>
      </c>
      <c r="AR180" s="473">
        <f t="shared" si="9"/>
        <v>0</v>
      </c>
      <c r="AS180" s="473">
        <f t="shared" si="9"/>
        <v>0</v>
      </c>
      <c r="AT180" s="474">
        <f t="shared" si="9"/>
        <v>0</v>
      </c>
      <c r="AU180" s="528"/>
      <c r="AV180" s="472">
        <f t="shared" si="9"/>
        <v>0</v>
      </c>
      <c r="AW180" s="474">
        <f t="shared" si="9"/>
        <v>0</v>
      </c>
      <c r="AX180" s="28"/>
      <c r="AY180" s="10"/>
    </row>
    <row r="181" spans="1:51" ht="14.25">
      <c r="A181" s="77"/>
      <c r="B181" s="77"/>
      <c r="C181" s="77"/>
      <c r="D181" s="78"/>
      <c r="E181" s="78"/>
      <c r="F181" s="78"/>
      <c r="G181" s="77"/>
      <c r="H181" s="90"/>
      <c r="I181" s="90"/>
      <c r="J181" s="344"/>
      <c r="K181" s="344"/>
      <c r="L181" s="98"/>
      <c r="M181" s="240"/>
      <c r="N181" s="10"/>
      <c r="O181" s="346"/>
      <c r="P181" s="346"/>
      <c r="Q181" s="346"/>
      <c r="R181" s="346"/>
      <c r="S181" s="346"/>
      <c r="T181" s="346"/>
      <c r="U181" s="240"/>
      <c r="V181" s="240"/>
      <c r="W181" s="240"/>
      <c r="X181" s="240"/>
      <c r="Y181" s="240"/>
      <c r="Z181" s="240"/>
      <c r="AA181" s="240"/>
      <c r="AB181" s="240"/>
      <c r="AC181" s="240"/>
      <c r="AD181" s="240"/>
      <c r="AE181" s="240"/>
      <c r="AF181" s="240"/>
      <c r="AG181" s="240"/>
      <c r="AH181" s="240"/>
      <c r="AI181" s="240"/>
      <c r="AJ181" s="240"/>
      <c r="AK181" s="240"/>
      <c r="AL181" s="240"/>
      <c r="AM181" s="240"/>
      <c r="AN181" s="240"/>
      <c r="AO181" s="240"/>
      <c r="AP181" s="240"/>
      <c r="AQ181" s="240"/>
      <c r="AR181" s="240"/>
      <c r="AS181" s="240"/>
      <c r="AT181" s="240"/>
      <c r="AU181" s="529"/>
      <c r="AV181" s="240"/>
      <c r="AW181" s="240"/>
      <c r="AX181" s="10"/>
      <c r="AY181" s="10"/>
    </row>
    <row r="182" spans="1:51" ht="14.25">
      <c r="A182" s="36"/>
      <c r="B182" s="37"/>
      <c r="C182" s="37" t="s">
        <v>1738</v>
      </c>
      <c r="D182" s="446" t="s">
        <v>1739</v>
      </c>
      <c r="E182" s="446"/>
      <c r="F182" s="446" t="s">
        <v>1694</v>
      </c>
      <c r="G182" s="447" t="s">
        <v>1703</v>
      </c>
      <c r="H182" s="645" t="s">
        <v>1740</v>
      </c>
      <c r="I182" s="477"/>
      <c r="J182" s="448" t="s">
        <v>342</v>
      </c>
      <c r="K182" s="449"/>
      <c r="L182" s="103"/>
      <c r="M182" s="450"/>
      <c r="N182" s="81"/>
      <c r="O182" s="478"/>
      <c r="P182" s="479"/>
      <c r="Q182" s="479"/>
      <c r="R182" s="479"/>
      <c r="S182" s="480"/>
      <c r="T182" s="508"/>
      <c r="U182" s="509"/>
      <c r="V182" s="509"/>
      <c r="W182" s="509"/>
      <c r="X182" s="509"/>
      <c r="Y182" s="509"/>
      <c r="Z182" s="509"/>
      <c r="AA182" s="509"/>
      <c r="AB182" s="509"/>
      <c r="AC182" s="509"/>
      <c r="AD182" s="509"/>
      <c r="AE182" s="509"/>
      <c r="AF182" s="509"/>
      <c r="AG182" s="509"/>
      <c r="AH182" s="509"/>
      <c r="AI182" s="509"/>
      <c r="AJ182" s="509"/>
      <c r="AK182" s="509"/>
      <c r="AL182" s="509"/>
      <c r="AM182" s="509"/>
      <c r="AN182" s="509"/>
      <c r="AO182" s="509"/>
      <c r="AP182" s="509"/>
      <c r="AQ182" s="509"/>
      <c r="AR182" s="509"/>
      <c r="AS182" s="509"/>
      <c r="AT182" s="510"/>
      <c r="AU182" s="523"/>
      <c r="AV182" s="511"/>
      <c r="AW182" s="510"/>
      <c r="AX182" s="28"/>
      <c r="AY182" s="10"/>
    </row>
    <row r="183" spans="1:51" ht="14.25">
      <c r="A183" s="40"/>
      <c r="B183" s="12"/>
      <c r="C183" s="12" t="s">
        <v>1738</v>
      </c>
      <c r="D183" s="455" t="s">
        <v>1739</v>
      </c>
      <c r="E183" s="455"/>
      <c r="F183" s="455" t="s">
        <v>1694</v>
      </c>
      <c r="G183" s="41" t="s">
        <v>1704</v>
      </c>
      <c r="H183" s="646"/>
      <c r="I183" s="482"/>
      <c r="J183" s="456" t="s">
        <v>343</v>
      </c>
      <c r="K183" s="457"/>
      <c r="L183" s="103"/>
      <c r="M183" s="458"/>
      <c r="N183" s="81"/>
      <c r="O183" s="483"/>
      <c r="P183" s="484"/>
      <c r="Q183" s="484"/>
      <c r="R183" s="484"/>
      <c r="S183" s="485"/>
      <c r="T183" s="486"/>
      <c r="U183" s="514"/>
      <c r="V183" s="514"/>
      <c r="W183" s="514"/>
      <c r="X183" s="514"/>
      <c r="Y183" s="514"/>
      <c r="Z183" s="514"/>
      <c r="AA183" s="514"/>
      <c r="AB183" s="514"/>
      <c r="AC183" s="514"/>
      <c r="AD183" s="514"/>
      <c r="AE183" s="514"/>
      <c r="AF183" s="514"/>
      <c r="AG183" s="514"/>
      <c r="AH183" s="514"/>
      <c r="AI183" s="514"/>
      <c r="AJ183" s="514"/>
      <c r="AK183" s="514"/>
      <c r="AL183" s="514"/>
      <c r="AM183" s="514"/>
      <c r="AN183" s="514"/>
      <c r="AO183" s="514"/>
      <c r="AP183" s="514"/>
      <c r="AQ183" s="514"/>
      <c r="AR183" s="514"/>
      <c r="AS183" s="514"/>
      <c r="AT183" s="515"/>
      <c r="AU183" s="523"/>
      <c r="AV183" s="516"/>
      <c r="AW183" s="515"/>
      <c r="AX183" s="28"/>
      <c r="AY183" s="10"/>
    </row>
    <row r="184" spans="1:51" ht="14.25">
      <c r="A184" s="40"/>
      <c r="B184" s="12"/>
      <c r="C184" s="12" t="s">
        <v>1738</v>
      </c>
      <c r="D184" s="455" t="s">
        <v>1739</v>
      </c>
      <c r="E184" s="455"/>
      <c r="F184" s="455" t="s">
        <v>1694</v>
      </c>
      <c r="G184" s="41" t="s">
        <v>1741</v>
      </c>
      <c r="H184" s="646"/>
      <c r="I184" s="482"/>
      <c r="J184" s="456" t="s">
        <v>1742</v>
      </c>
      <c r="K184" s="457"/>
      <c r="L184" s="103"/>
      <c r="M184" s="458"/>
      <c r="N184" s="81"/>
      <c r="O184" s="483"/>
      <c r="P184" s="484"/>
      <c r="Q184" s="484"/>
      <c r="R184" s="484"/>
      <c r="S184" s="485"/>
      <c r="T184" s="486"/>
      <c r="U184" s="514"/>
      <c r="V184" s="514"/>
      <c r="W184" s="514"/>
      <c r="X184" s="514"/>
      <c r="Y184" s="514"/>
      <c r="Z184" s="514"/>
      <c r="AA184" s="514"/>
      <c r="AB184" s="514"/>
      <c r="AC184" s="514"/>
      <c r="AD184" s="514"/>
      <c r="AE184" s="514"/>
      <c r="AF184" s="514"/>
      <c r="AG184" s="514"/>
      <c r="AH184" s="514"/>
      <c r="AI184" s="514"/>
      <c r="AJ184" s="514"/>
      <c r="AK184" s="514"/>
      <c r="AL184" s="514"/>
      <c r="AM184" s="514"/>
      <c r="AN184" s="514"/>
      <c r="AO184" s="514"/>
      <c r="AP184" s="514"/>
      <c r="AQ184" s="514"/>
      <c r="AR184" s="514"/>
      <c r="AS184" s="514"/>
      <c r="AT184" s="515"/>
      <c r="AU184" s="523"/>
      <c r="AV184" s="516"/>
      <c r="AW184" s="515"/>
      <c r="AX184" s="28"/>
      <c r="AY184" s="10"/>
    </row>
    <row r="185" spans="1:51" ht="14.25">
      <c r="A185" s="40"/>
      <c r="B185" s="12"/>
      <c r="C185" s="12" t="s">
        <v>1738</v>
      </c>
      <c r="D185" s="455" t="s">
        <v>1739</v>
      </c>
      <c r="E185" s="455"/>
      <c r="F185" s="455" t="s">
        <v>1694</v>
      </c>
      <c r="G185" s="41" t="s">
        <v>1743</v>
      </c>
      <c r="H185" s="646"/>
      <c r="I185" s="482"/>
      <c r="J185" s="456" t="s">
        <v>1744</v>
      </c>
      <c r="K185" s="457"/>
      <c r="L185" s="103"/>
      <c r="M185" s="458"/>
      <c r="N185" s="81"/>
      <c r="O185" s="483"/>
      <c r="P185" s="484"/>
      <c r="Q185" s="484"/>
      <c r="R185" s="484"/>
      <c r="S185" s="485"/>
      <c r="T185" s="486"/>
      <c r="U185" s="514"/>
      <c r="V185" s="514"/>
      <c r="W185" s="514"/>
      <c r="X185" s="514"/>
      <c r="Y185" s="514"/>
      <c r="Z185" s="514"/>
      <c r="AA185" s="514"/>
      <c r="AB185" s="514"/>
      <c r="AC185" s="514"/>
      <c r="AD185" s="514"/>
      <c r="AE185" s="514"/>
      <c r="AF185" s="514"/>
      <c r="AG185" s="514"/>
      <c r="AH185" s="514"/>
      <c r="AI185" s="514"/>
      <c r="AJ185" s="514"/>
      <c r="AK185" s="514"/>
      <c r="AL185" s="514"/>
      <c r="AM185" s="514"/>
      <c r="AN185" s="514"/>
      <c r="AO185" s="514"/>
      <c r="AP185" s="514"/>
      <c r="AQ185" s="514"/>
      <c r="AR185" s="514"/>
      <c r="AS185" s="514"/>
      <c r="AT185" s="515"/>
      <c r="AU185" s="523"/>
      <c r="AV185" s="516"/>
      <c r="AW185" s="515"/>
      <c r="AX185" s="28"/>
      <c r="AY185" s="10"/>
    </row>
    <row r="186" spans="1:51" ht="14.25">
      <c r="A186" s="40"/>
      <c r="B186" s="12"/>
      <c r="C186" s="12" t="s">
        <v>1738</v>
      </c>
      <c r="D186" s="455" t="s">
        <v>1739</v>
      </c>
      <c r="E186" s="455"/>
      <c r="F186" s="455" t="s">
        <v>1694</v>
      </c>
      <c r="G186" s="41" t="s">
        <v>1729</v>
      </c>
      <c r="H186" s="646"/>
      <c r="I186" s="482"/>
      <c r="J186" s="456" t="s">
        <v>1730</v>
      </c>
      <c r="K186" s="457"/>
      <c r="L186" s="103"/>
      <c r="M186" s="458"/>
      <c r="N186" s="81"/>
      <c r="O186" s="483"/>
      <c r="P186" s="484"/>
      <c r="Q186" s="484"/>
      <c r="R186" s="484"/>
      <c r="S186" s="485"/>
      <c r="T186" s="486"/>
      <c r="U186" s="514"/>
      <c r="V186" s="514"/>
      <c r="W186" s="514"/>
      <c r="X186" s="514"/>
      <c r="Y186" s="514"/>
      <c r="Z186" s="514"/>
      <c r="AA186" s="514"/>
      <c r="AB186" s="514"/>
      <c r="AC186" s="514"/>
      <c r="AD186" s="514"/>
      <c r="AE186" s="514"/>
      <c r="AF186" s="514"/>
      <c r="AG186" s="514"/>
      <c r="AH186" s="514"/>
      <c r="AI186" s="514"/>
      <c r="AJ186" s="514"/>
      <c r="AK186" s="514"/>
      <c r="AL186" s="514"/>
      <c r="AM186" s="514"/>
      <c r="AN186" s="514"/>
      <c r="AO186" s="514"/>
      <c r="AP186" s="514"/>
      <c r="AQ186" s="514"/>
      <c r="AR186" s="514"/>
      <c r="AS186" s="514"/>
      <c r="AT186" s="515"/>
      <c r="AU186" s="523"/>
      <c r="AV186" s="516"/>
      <c r="AW186" s="515"/>
      <c r="AX186" s="28"/>
      <c r="AY186" s="10"/>
    </row>
    <row r="187" spans="1:51" ht="14.25">
      <c r="A187" s="40"/>
      <c r="B187" s="12"/>
      <c r="C187" s="12" t="s">
        <v>1738</v>
      </c>
      <c r="D187" s="455" t="s">
        <v>1739</v>
      </c>
      <c r="E187" s="455"/>
      <c r="F187" s="455" t="s">
        <v>1694</v>
      </c>
      <c r="G187" s="41" t="s">
        <v>1731</v>
      </c>
      <c r="H187" s="646"/>
      <c r="I187" s="482"/>
      <c r="J187" s="456" t="s">
        <v>1732</v>
      </c>
      <c r="K187" s="457"/>
      <c r="L187" s="103"/>
      <c r="M187" s="458"/>
      <c r="N187" s="81"/>
      <c r="O187" s="483"/>
      <c r="P187" s="484"/>
      <c r="Q187" s="484"/>
      <c r="R187" s="484"/>
      <c r="S187" s="485"/>
      <c r="T187" s="486"/>
      <c r="U187" s="514"/>
      <c r="V187" s="514"/>
      <c r="W187" s="514"/>
      <c r="X187" s="514"/>
      <c r="Y187" s="514"/>
      <c r="Z187" s="514"/>
      <c r="AA187" s="514"/>
      <c r="AB187" s="514"/>
      <c r="AC187" s="514"/>
      <c r="AD187" s="514"/>
      <c r="AE187" s="514"/>
      <c r="AF187" s="514"/>
      <c r="AG187" s="514"/>
      <c r="AH187" s="514"/>
      <c r="AI187" s="514"/>
      <c r="AJ187" s="514"/>
      <c r="AK187" s="514"/>
      <c r="AL187" s="514"/>
      <c r="AM187" s="514"/>
      <c r="AN187" s="514"/>
      <c r="AO187" s="514"/>
      <c r="AP187" s="514"/>
      <c r="AQ187" s="514"/>
      <c r="AR187" s="514"/>
      <c r="AS187" s="514"/>
      <c r="AT187" s="515"/>
      <c r="AU187" s="523"/>
      <c r="AV187" s="516"/>
      <c r="AW187" s="515"/>
      <c r="AX187" s="28"/>
      <c r="AY187" s="10"/>
    </row>
    <row r="188" spans="1:51" ht="14.25">
      <c r="A188" s="40"/>
      <c r="B188" s="12"/>
      <c r="C188" s="12" t="s">
        <v>1738</v>
      </c>
      <c r="D188" s="455" t="s">
        <v>1739</v>
      </c>
      <c r="E188" s="455"/>
      <c r="F188" s="455" t="s">
        <v>1694</v>
      </c>
      <c r="G188" s="41" t="s">
        <v>1705</v>
      </c>
      <c r="H188" s="646"/>
      <c r="I188" s="482"/>
      <c r="J188" s="456" t="s">
        <v>344</v>
      </c>
      <c r="K188" s="457"/>
      <c r="L188" s="103"/>
      <c r="M188" s="458"/>
      <c r="N188" s="81"/>
      <c r="O188" s="483"/>
      <c r="P188" s="484"/>
      <c r="Q188" s="484"/>
      <c r="R188" s="484"/>
      <c r="S188" s="485"/>
      <c r="T188" s="486"/>
      <c r="U188" s="514"/>
      <c r="V188" s="514"/>
      <c r="W188" s="514"/>
      <c r="X188" s="514"/>
      <c r="Y188" s="514"/>
      <c r="Z188" s="514"/>
      <c r="AA188" s="514"/>
      <c r="AB188" s="514"/>
      <c r="AC188" s="514"/>
      <c r="AD188" s="514"/>
      <c r="AE188" s="514"/>
      <c r="AF188" s="514"/>
      <c r="AG188" s="514"/>
      <c r="AH188" s="514"/>
      <c r="AI188" s="514"/>
      <c r="AJ188" s="514"/>
      <c r="AK188" s="514"/>
      <c r="AL188" s="514"/>
      <c r="AM188" s="514"/>
      <c r="AN188" s="514"/>
      <c r="AO188" s="514"/>
      <c r="AP188" s="514"/>
      <c r="AQ188" s="514"/>
      <c r="AR188" s="514"/>
      <c r="AS188" s="514"/>
      <c r="AT188" s="515"/>
      <c r="AU188" s="523"/>
      <c r="AV188" s="516"/>
      <c r="AW188" s="515"/>
      <c r="AX188" s="28"/>
      <c r="AY188" s="10"/>
    </row>
    <row r="189" spans="1:51" ht="14.25">
      <c r="A189" s="40"/>
      <c r="B189" s="12"/>
      <c r="C189" s="12" t="s">
        <v>1738</v>
      </c>
      <c r="D189" s="455" t="s">
        <v>1739</v>
      </c>
      <c r="E189" s="455"/>
      <c r="F189" s="455" t="s">
        <v>1694</v>
      </c>
      <c r="G189" s="41" t="s">
        <v>1735</v>
      </c>
      <c r="H189" s="646"/>
      <c r="I189" s="482"/>
      <c r="J189" s="456" t="s">
        <v>1736</v>
      </c>
      <c r="K189" s="457"/>
      <c r="L189" s="103"/>
      <c r="M189" s="458"/>
      <c r="N189" s="81"/>
      <c r="O189" s="483"/>
      <c r="P189" s="484"/>
      <c r="Q189" s="484"/>
      <c r="R189" s="484"/>
      <c r="S189" s="485"/>
      <c r="T189" s="486"/>
      <c r="U189" s="514"/>
      <c r="V189" s="514"/>
      <c r="W189" s="514"/>
      <c r="X189" s="514"/>
      <c r="Y189" s="514"/>
      <c r="Z189" s="514"/>
      <c r="AA189" s="514"/>
      <c r="AB189" s="514"/>
      <c r="AC189" s="514"/>
      <c r="AD189" s="514"/>
      <c r="AE189" s="514"/>
      <c r="AF189" s="514"/>
      <c r="AG189" s="514"/>
      <c r="AH189" s="514"/>
      <c r="AI189" s="514"/>
      <c r="AJ189" s="514"/>
      <c r="AK189" s="514"/>
      <c r="AL189" s="514"/>
      <c r="AM189" s="514"/>
      <c r="AN189" s="514"/>
      <c r="AO189" s="514"/>
      <c r="AP189" s="514"/>
      <c r="AQ189" s="514"/>
      <c r="AR189" s="514"/>
      <c r="AS189" s="514"/>
      <c r="AT189" s="515"/>
      <c r="AU189" s="523"/>
      <c r="AV189" s="516"/>
      <c r="AW189" s="515"/>
      <c r="AX189" s="28"/>
      <c r="AY189" s="10"/>
    </row>
    <row r="190" spans="1:51" ht="14.25">
      <c r="A190" s="40"/>
      <c r="B190" s="12"/>
      <c r="C190" s="12" t="s">
        <v>1738</v>
      </c>
      <c r="D190" s="455" t="s">
        <v>1739</v>
      </c>
      <c r="E190" s="455"/>
      <c r="F190" s="455" t="s">
        <v>1694</v>
      </c>
      <c r="G190" s="41" t="s">
        <v>1708</v>
      </c>
      <c r="H190" s="646"/>
      <c r="I190" s="482"/>
      <c r="J190" s="456" t="s">
        <v>1709</v>
      </c>
      <c r="K190" s="457"/>
      <c r="L190" s="103"/>
      <c r="M190" s="458"/>
      <c r="N190" s="81"/>
      <c r="O190" s="483"/>
      <c r="P190" s="484"/>
      <c r="Q190" s="484"/>
      <c r="R190" s="484"/>
      <c r="S190" s="485"/>
      <c r="T190" s="486"/>
      <c r="U190" s="514"/>
      <c r="V190" s="514"/>
      <c r="W190" s="514"/>
      <c r="X190" s="514"/>
      <c r="Y190" s="514"/>
      <c r="Z190" s="514"/>
      <c r="AA190" s="514"/>
      <c r="AB190" s="514"/>
      <c r="AC190" s="514"/>
      <c r="AD190" s="514"/>
      <c r="AE190" s="514"/>
      <c r="AF190" s="514"/>
      <c r="AG190" s="514"/>
      <c r="AH190" s="514"/>
      <c r="AI190" s="514"/>
      <c r="AJ190" s="514"/>
      <c r="AK190" s="514"/>
      <c r="AL190" s="514"/>
      <c r="AM190" s="514"/>
      <c r="AN190" s="514"/>
      <c r="AO190" s="514"/>
      <c r="AP190" s="514"/>
      <c r="AQ190" s="514"/>
      <c r="AR190" s="514"/>
      <c r="AS190" s="514"/>
      <c r="AT190" s="515"/>
      <c r="AU190" s="523"/>
      <c r="AV190" s="516"/>
      <c r="AW190" s="515"/>
      <c r="AX190" s="28"/>
      <c r="AY190" s="10"/>
    </row>
    <row r="191" spans="1:51" ht="14.25">
      <c r="A191" s="40"/>
      <c r="B191" s="12"/>
      <c r="C191" s="12" t="s">
        <v>1738</v>
      </c>
      <c r="D191" s="455" t="s">
        <v>1739</v>
      </c>
      <c r="E191" s="455"/>
      <c r="F191" s="455" t="s">
        <v>1694</v>
      </c>
      <c r="G191" s="41" t="s">
        <v>638</v>
      </c>
      <c r="H191" s="646"/>
      <c r="I191" s="482"/>
      <c r="J191" s="456" t="s">
        <v>336</v>
      </c>
      <c r="K191" s="457"/>
      <c r="L191" s="103"/>
      <c r="M191" s="458"/>
      <c r="N191" s="81"/>
      <c r="O191" s="483"/>
      <c r="P191" s="484"/>
      <c r="Q191" s="484"/>
      <c r="R191" s="484"/>
      <c r="S191" s="485"/>
      <c r="T191" s="486"/>
      <c r="U191" s="514"/>
      <c r="V191" s="514"/>
      <c r="W191" s="514"/>
      <c r="X191" s="514"/>
      <c r="Y191" s="514"/>
      <c r="Z191" s="514"/>
      <c r="AA191" s="514"/>
      <c r="AB191" s="514"/>
      <c r="AC191" s="514"/>
      <c r="AD191" s="514"/>
      <c r="AE191" s="514"/>
      <c r="AF191" s="514"/>
      <c r="AG191" s="514"/>
      <c r="AH191" s="514"/>
      <c r="AI191" s="514"/>
      <c r="AJ191" s="514"/>
      <c r="AK191" s="514"/>
      <c r="AL191" s="514"/>
      <c r="AM191" s="514"/>
      <c r="AN191" s="514"/>
      <c r="AO191" s="514"/>
      <c r="AP191" s="514"/>
      <c r="AQ191" s="514"/>
      <c r="AR191" s="514"/>
      <c r="AS191" s="514"/>
      <c r="AT191" s="515"/>
      <c r="AU191" s="523"/>
      <c r="AV191" s="516"/>
      <c r="AW191" s="515"/>
      <c r="AX191" s="28"/>
      <c r="AY191" s="10"/>
    </row>
    <row r="192" spans="1:51" ht="14.25">
      <c r="A192" s="40"/>
      <c r="B192" s="12"/>
      <c r="C192" s="12" t="s">
        <v>1738</v>
      </c>
      <c r="D192" s="455" t="s">
        <v>1739</v>
      </c>
      <c r="E192" s="455"/>
      <c r="F192" s="455" t="s">
        <v>1694</v>
      </c>
      <c r="G192" s="41" t="s">
        <v>1745</v>
      </c>
      <c r="H192" s="646"/>
      <c r="I192" s="482"/>
      <c r="J192" s="456" t="s">
        <v>1746</v>
      </c>
      <c r="K192" s="457"/>
      <c r="L192" s="103"/>
      <c r="M192" s="458"/>
      <c r="N192" s="81"/>
      <c r="O192" s="483"/>
      <c r="P192" s="484"/>
      <c r="Q192" s="484"/>
      <c r="R192" s="484"/>
      <c r="S192" s="485"/>
      <c r="T192" s="486"/>
      <c r="U192" s="514"/>
      <c r="V192" s="514"/>
      <c r="W192" s="514"/>
      <c r="X192" s="514"/>
      <c r="Y192" s="514"/>
      <c r="Z192" s="514"/>
      <c r="AA192" s="514"/>
      <c r="AB192" s="514"/>
      <c r="AC192" s="514"/>
      <c r="AD192" s="514"/>
      <c r="AE192" s="514"/>
      <c r="AF192" s="514"/>
      <c r="AG192" s="514"/>
      <c r="AH192" s="514"/>
      <c r="AI192" s="514"/>
      <c r="AJ192" s="514"/>
      <c r="AK192" s="514"/>
      <c r="AL192" s="514"/>
      <c r="AM192" s="514"/>
      <c r="AN192" s="514"/>
      <c r="AO192" s="514"/>
      <c r="AP192" s="514"/>
      <c r="AQ192" s="514"/>
      <c r="AR192" s="514"/>
      <c r="AS192" s="514"/>
      <c r="AT192" s="515"/>
      <c r="AU192" s="523"/>
      <c r="AV192" s="516"/>
      <c r="AW192" s="515"/>
      <c r="AX192" s="28"/>
      <c r="AY192" s="10"/>
    </row>
    <row r="193" spans="1:51" ht="14.25">
      <c r="A193" s="40"/>
      <c r="B193" s="12"/>
      <c r="C193" s="12" t="s">
        <v>1738</v>
      </c>
      <c r="D193" s="455" t="s">
        <v>1739</v>
      </c>
      <c r="E193" s="455"/>
      <c r="F193" s="455" t="s">
        <v>1694</v>
      </c>
      <c r="G193" s="41" t="s">
        <v>1698</v>
      </c>
      <c r="H193" s="646"/>
      <c r="I193" s="482"/>
      <c r="J193" s="456" t="s">
        <v>338</v>
      </c>
      <c r="K193" s="457"/>
      <c r="L193" s="103"/>
      <c r="M193" s="458"/>
      <c r="N193" s="81"/>
      <c r="O193" s="483"/>
      <c r="P193" s="484"/>
      <c r="Q193" s="484"/>
      <c r="R193" s="484"/>
      <c r="S193" s="485"/>
      <c r="T193" s="486"/>
      <c r="U193" s="514"/>
      <c r="V193" s="514"/>
      <c r="W193" s="514"/>
      <c r="X193" s="514"/>
      <c r="Y193" s="514"/>
      <c r="Z193" s="514"/>
      <c r="AA193" s="514"/>
      <c r="AB193" s="514"/>
      <c r="AC193" s="514"/>
      <c r="AD193" s="514"/>
      <c r="AE193" s="514"/>
      <c r="AF193" s="514"/>
      <c r="AG193" s="514"/>
      <c r="AH193" s="514"/>
      <c r="AI193" s="514"/>
      <c r="AJ193" s="514"/>
      <c r="AK193" s="514"/>
      <c r="AL193" s="514"/>
      <c r="AM193" s="514"/>
      <c r="AN193" s="514"/>
      <c r="AO193" s="514"/>
      <c r="AP193" s="514"/>
      <c r="AQ193" s="514"/>
      <c r="AR193" s="514"/>
      <c r="AS193" s="514"/>
      <c r="AT193" s="515"/>
      <c r="AU193" s="523"/>
      <c r="AV193" s="516"/>
      <c r="AW193" s="515"/>
      <c r="AX193" s="28"/>
      <c r="AY193" s="10"/>
    </row>
    <row r="194" spans="1:51" ht="14.25">
      <c r="A194" s="40"/>
      <c r="B194" s="12"/>
      <c r="C194" s="12" t="s">
        <v>1738</v>
      </c>
      <c r="D194" s="455" t="s">
        <v>1739</v>
      </c>
      <c r="E194" s="455"/>
      <c r="F194" s="455" t="s">
        <v>1694</v>
      </c>
      <c r="G194" s="41" t="s">
        <v>1747</v>
      </c>
      <c r="H194" s="646"/>
      <c r="I194" s="482"/>
      <c r="J194" s="456" t="s">
        <v>1748</v>
      </c>
      <c r="K194" s="457"/>
      <c r="L194" s="103"/>
      <c r="M194" s="458"/>
      <c r="N194" s="81"/>
      <c r="O194" s="483"/>
      <c r="P194" s="484"/>
      <c r="Q194" s="484"/>
      <c r="R194" s="484"/>
      <c r="S194" s="485"/>
      <c r="T194" s="486"/>
      <c r="U194" s="514"/>
      <c r="V194" s="514"/>
      <c r="W194" s="514"/>
      <c r="X194" s="514"/>
      <c r="Y194" s="514"/>
      <c r="Z194" s="514"/>
      <c r="AA194" s="514"/>
      <c r="AB194" s="514"/>
      <c r="AC194" s="514"/>
      <c r="AD194" s="514"/>
      <c r="AE194" s="514"/>
      <c r="AF194" s="514"/>
      <c r="AG194" s="514"/>
      <c r="AH194" s="514"/>
      <c r="AI194" s="514"/>
      <c r="AJ194" s="514"/>
      <c r="AK194" s="514"/>
      <c r="AL194" s="514"/>
      <c r="AM194" s="514"/>
      <c r="AN194" s="514"/>
      <c r="AO194" s="514"/>
      <c r="AP194" s="514"/>
      <c r="AQ194" s="514"/>
      <c r="AR194" s="514"/>
      <c r="AS194" s="514"/>
      <c r="AT194" s="515"/>
      <c r="AU194" s="523"/>
      <c r="AV194" s="516"/>
      <c r="AW194" s="515"/>
      <c r="AX194" s="28"/>
      <c r="AY194" s="10"/>
    </row>
    <row r="195" spans="1:51" ht="14.25">
      <c r="A195" s="40"/>
      <c r="B195" s="12"/>
      <c r="C195" s="12" t="s">
        <v>1738</v>
      </c>
      <c r="D195" s="455" t="s">
        <v>1739</v>
      </c>
      <c r="E195" s="455"/>
      <c r="F195" s="455" t="s">
        <v>1694</v>
      </c>
      <c r="G195" s="41" t="s">
        <v>1702</v>
      </c>
      <c r="H195" s="646"/>
      <c r="I195" s="482"/>
      <c r="J195" s="456" t="s">
        <v>341</v>
      </c>
      <c r="K195" s="457"/>
      <c r="L195" s="103"/>
      <c r="M195" s="458"/>
      <c r="N195" s="81"/>
      <c r="O195" s="483"/>
      <c r="P195" s="484"/>
      <c r="Q195" s="484"/>
      <c r="R195" s="484"/>
      <c r="S195" s="485"/>
      <c r="T195" s="486"/>
      <c r="U195" s="514"/>
      <c r="V195" s="514"/>
      <c r="W195" s="514"/>
      <c r="X195" s="514"/>
      <c r="Y195" s="514"/>
      <c r="Z195" s="514"/>
      <c r="AA195" s="514"/>
      <c r="AB195" s="514"/>
      <c r="AC195" s="514"/>
      <c r="AD195" s="514"/>
      <c r="AE195" s="514"/>
      <c r="AF195" s="514"/>
      <c r="AG195" s="514"/>
      <c r="AH195" s="514"/>
      <c r="AI195" s="514"/>
      <c r="AJ195" s="514"/>
      <c r="AK195" s="514"/>
      <c r="AL195" s="514"/>
      <c r="AM195" s="514"/>
      <c r="AN195" s="514"/>
      <c r="AO195" s="514"/>
      <c r="AP195" s="514"/>
      <c r="AQ195" s="514"/>
      <c r="AR195" s="514"/>
      <c r="AS195" s="514"/>
      <c r="AT195" s="515"/>
      <c r="AU195" s="523"/>
      <c r="AV195" s="516"/>
      <c r="AW195" s="515"/>
      <c r="AX195" s="28"/>
      <c r="AY195" s="10"/>
    </row>
    <row r="196" spans="1:51" ht="14.25">
      <c r="A196" s="40"/>
      <c r="B196" s="12"/>
      <c r="C196" s="12" t="s">
        <v>1738</v>
      </c>
      <c r="D196" s="455" t="s">
        <v>1739</v>
      </c>
      <c r="E196" s="455"/>
      <c r="F196" s="455" t="s">
        <v>1694</v>
      </c>
      <c r="G196" s="41" t="s">
        <v>650</v>
      </c>
      <c r="H196" s="646"/>
      <c r="I196" s="482"/>
      <c r="J196" s="456" t="s">
        <v>1699</v>
      </c>
      <c r="K196" s="457"/>
      <c r="L196" s="103"/>
      <c r="M196" s="458"/>
      <c r="N196" s="81"/>
      <c r="O196" s="483"/>
      <c r="P196" s="484"/>
      <c r="Q196" s="484"/>
      <c r="R196" s="484"/>
      <c r="S196" s="485"/>
      <c r="T196" s="486"/>
      <c r="U196" s="514"/>
      <c r="V196" s="514"/>
      <c r="W196" s="514"/>
      <c r="X196" s="514"/>
      <c r="Y196" s="514"/>
      <c r="Z196" s="514"/>
      <c r="AA196" s="514"/>
      <c r="AB196" s="514"/>
      <c r="AC196" s="514"/>
      <c r="AD196" s="514"/>
      <c r="AE196" s="514"/>
      <c r="AF196" s="514"/>
      <c r="AG196" s="514"/>
      <c r="AH196" s="514"/>
      <c r="AI196" s="514"/>
      <c r="AJ196" s="514"/>
      <c r="AK196" s="514"/>
      <c r="AL196" s="514"/>
      <c r="AM196" s="514"/>
      <c r="AN196" s="514"/>
      <c r="AO196" s="514"/>
      <c r="AP196" s="514"/>
      <c r="AQ196" s="514"/>
      <c r="AR196" s="514"/>
      <c r="AS196" s="514"/>
      <c r="AT196" s="515"/>
      <c r="AU196" s="523"/>
      <c r="AV196" s="516"/>
      <c r="AW196" s="515"/>
      <c r="AX196" s="28"/>
      <c r="AY196" s="10"/>
    </row>
    <row r="197" spans="1:51" ht="14.25">
      <c r="A197" s="40"/>
      <c r="B197" s="12"/>
      <c r="C197" s="12" t="s">
        <v>1738</v>
      </c>
      <c r="D197" s="455" t="s">
        <v>1739</v>
      </c>
      <c r="E197" s="455"/>
      <c r="F197" s="455" t="s">
        <v>1694</v>
      </c>
      <c r="G197" s="41" t="s">
        <v>1706</v>
      </c>
      <c r="H197" s="646"/>
      <c r="I197" s="482"/>
      <c r="J197" s="456" t="s">
        <v>1707</v>
      </c>
      <c r="K197" s="457"/>
      <c r="L197" s="103"/>
      <c r="M197" s="458"/>
      <c r="N197" s="81"/>
      <c r="O197" s="483"/>
      <c r="P197" s="484"/>
      <c r="Q197" s="484"/>
      <c r="R197" s="484"/>
      <c r="S197" s="485"/>
      <c r="T197" s="486"/>
      <c r="U197" s="514"/>
      <c r="V197" s="514"/>
      <c r="W197" s="514"/>
      <c r="X197" s="514"/>
      <c r="Y197" s="514"/>
      <c r="Z197" s="514"/>
      <c r="AA197" s="514"/>
      <c r="AB197" s="514"/>
      <c r="AC197" s="514"/>
      <c r="AD197" s="514"/>
      <c r="AE197" s="514"/>
      <c r="AF197" s="514"/>
      <c r="AG197" s="514"/>
      <c r="AH197" s="514"/>
      <c r="AI197" s="514"/>
      <c r="AJ197" s="514"/>
      <c r="AK197" s="514"/>
      <c r="AL197" s="514"/>
      <c r="AM197" s="514"/>
      <c r="AN197" s="514"/>
      <c r="AO197" s="514"/>
      <c r="AP197" s="514"/>
      <c r="AQ197" s="514"/>
      <c r="AR197" s="514"/>
      <c r="AS197" s="514"/>
      <c r="AT197" s="515"/>
      <c r="AU197" s="523"/>
      <c r="AV197" s="516"/>
      <c r="AW197" s="515"/>
      <c r="AX197" s="28"/>
      <c r="AY197" s="10"/>
    </row>
    <row r="198" spans="1:51" ht="14.25">
      <c r="A198" s="40"/>
      <c r="B198" s="12"/>
      <c r="C198" s="12" t="s">
        <v>1738</v>
      </c>
      <c r="D198" s="455" t="s">
        <v>1739</v>
      </c>
      <c r="E198" s="455"/>
      <c r="F198" s="455" t="s">
        <v>1694</v>
      </c>
      <c r="G198" s="41" t="s">
        <v>1701</v>
      </c>
      <c r="H198" s="646"/>
      <c r="I198" s="482"/>
      <c r="J198" s="456" t="s">
        <v>340</v>
      </c>
      <c r="K198" s="457"/>
      <c r="L198" s="103"/>
      <c r="M198" s="458"/>
      <c r="N198" s="81"/>
      <c r="O198" s="483"/>
      <c r="P198" s="484"/>
      <c r="Q198" s="484"/>
      <c r="R198" s="484"/>
      <c r="S198" s="485"/>
      <c r="T198" s="486"/>
      <c r="U198" s="514"/>
      <c r="V198" s="514"/>
      <c r="W198" s="514"/>
      <c r="X198" s="514"/>
      <c r="Y198" s="514"/>
      <c r="Z198" s="514"/>
      <c r="AA198" s="514"/>
      <c r="AB198" s="514"/>
      <c r="AC198" s="514"/>
      <c r="AD198" s="514"/>
      <c r="AE198" s="514"/>
      <c r="AF198" s="514"/>
      <c r="AG198" s="514"/>
      <c r="AH198" s="514"/>
      <c r="AI198" s="514"/>
      <c r="AJ198" s="514"/>
      <c r="AK198" s="514"/>
      <c r="AL198" s="514"/>
      <c r="AM198" s="514"/>
      <c r="AN198" s="514"/>
      <c r="AO198" s="514"/>
      <c r="AP198" s="514"/>
      <c r="AQ198" s="514"/>
      <c r="AR198" s="514"/>
      <c r="AS198" s="514"/>
      <c r="AT198" s="515"/>
      <c r="AU198" s="523"/>
      <c r="AV198" s="516"/>
      <c r="AW198" s="515"/>
      <c r="AX198" s="28"/>
      <c r="AY198" s="10"/>
    </row>
    <row r="199" spans="1:51" ht="14.25">
      <c r="A199" s="40"/>
      <c r="B199" s="12"/>
      <c r="C199" s="12" t="s">
        <v>1738</v>
      </c>
      <c r="D199" s="455" t="s">
        <v>1739</v>
      </c>
      <c r="E199" s="455"/>
      <c r="F199" s="455" t="s">
        <v>1694</v>
      </c>
      <c r="G199" s="41" t="s">
        <v>1710</v>
      </c>
      <c r="H199" s="646"/>
      <c r="I199" s="489"/>
      <c r="J199" s="456" t="s">
        <v>345</v>
      </c>
      <c r="K199" s="457"/>
      <c r="L199" s="103"/>
      <c r="M199" s="458"/>
      <c r="N199" s="81"/>
      <c r="O199" s="483"/>
      <c r="P199" s="484"/>
      <c r="Q199" s="484"/>
      <c r="R199" s="484"/>
      <c r="S199" s="485"/>
      <c r="T199" s="486"/>
      <c r="U199" s="514"/>
      <c r="V199" s="514"/>
      <c r="W199" s="514"/>
      <c r="X199" s="514"/>
      <c r="Y199" s="514"/>
      <c r="Z199" s="514"/>
      <c r="AA199" s="514"/>
      <c r="AB199" s="514"/>
      <c r="AC199" s="514"/>
      <c r="AD199" s="514"/>
      <c r="AE199" s="514"/>
      <c r="AF199" s="514"/>
      <c r="AG199" s="514"/>
      <c r="AH199" s="514"/>
      <c r="AI199" s="514"/>
      <c r="AJ199" s="514"/>
      <c r="AK199" s="514"/>
      <c r="AL199" s="514"/>
      <c r="AM199" s="514"/>
      <c r="AN199" s="514"/>
      <c r="AO199" s="514"/>
      <c r="AP199" s="514"/>
      <c r="AQ199" s="514"/>
      <c r="AR199" s="514"/>
      <c r="AS199" s="514"/>
      <c r="AT199" s="515"/>
      <c r="AU199" s="523"/>
      <c r="AV199" s="516"/>
      <c r="AW199" s="515"/>
      <c r="AX199" s="28"/>
      <c r="AY199" s="10"/>
    </row>
    <row r="200" spans="1:51" ht="14.25">
      <c r="A200" s="45" t="s">
        <v>1582</v>
      </c>
      <c r="B200" s="46" t="s">
        <v>1749</v>
      </c>
      <c r="C200" s="46" t="s">
        <v>1750</v>
      </c>
      <c r="D200" s="476" t="s">
        <v>1751</v>
      </c>
      <c r="E200" s="476" t="s">
        <v>1596</v>
      </c>
      <c r="F200" s="476" t="s">
        <v>1752</v>
      </c>
      <c r="G200" s="47" t="s">
        <v>476</v>
      </c>
      <c r="H200" s="646"/>
      <c r="I200" s="530"/>
      <c r="J200" s="462" t="s">
        <v>1478</v>
      </c>
      <c r="K200" s="463"/>
      <c r="L200" s="103"/>
      <c r="M200" s="458"/>
      <c r="N200" s="81"/>
      <c r="O200" s="483"/>
      <c r="P200" s="484"/>
      <c r="Q200" s="484"/>
      <c r="R200" s="484"/>
      <c r="S200" s="485"/>
      <c r="T200" s="486"/>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335"/>
      <c r="AU200" s="523"/>
      <c r="AV200" s="524"/>
      <c r="AW200" s="335"/>
      <c r="AX200" s="28"/>
      <c r="AY200" s="10"/>
    </row>
    <row r="201" spans="1:51" ht="14.25">
      <c r="A201" s="36"/>
      <c r="B201" s="37"/>
      <c r="C201" s="37" t="s">
        <v>1738</v>
      </c>
      <c r="D201" s="446" t="s">
        <v>1739</v>
      </c>
      <c r="E201" s="446"/>
      <c r="F201" s="446" t="s">
        <v>1694</v>
      </c>
      <c r="G201" s="447" t="s">
        <v>1703</v>
      </c>
      <c r="H201" s="646"/>
      <c r="I201" s="477"/>
      <c r="J201" s="448" t="s">
        <v>342</v>
      </c>
      <c r="K201" s="449"/>
      <c r="L201" s="103"/>
      <c r="M201" s="458"/>
      <c r="N201" s="81"/>
      <c r="O201" s="483"/>
      <c r="P201" s="484"/>
      <c r="Q201" s="484"/>
      <c r="R201" s="484"/>
      <c r="S201" s="485"/>
      <c r="T201" s="486"/>
      <c r="U201" s="514"/>
      <c r="V201" s="514"/>
      <c r="W201" s="514"/>
      <c r="X201" s="514"/>
      <c r="Y201" s="514"/>
      <c r="Z201" s="514"/>
      <c r="AA201" s="514"/>
      <c r="AB201" s="514"/>
      <c r="AC201" s="514"/>
      <c r="AD201" s="514"/>
      <c r="AE201" s="514"/>
      <c r="AF201" s="514"/>
      <c r="AG201" s="514"/>
      <c r="AH201" s="514"/>
      <c r="AI201" s="514"/>
      <c r="AJ201" s="514"/>
      <c r="AK201" s="514"/>
      <c r="AL201" s="514"/>
      <c r="AM201" s="514"/>
      <c r="AN201" s="514"/>
      <c r="AO201" s="514"/>
      <c r="AP201" s="514"/>
      <c r="AQ201" s="514"/>
      <c r="AR201" s="514"/>
      <c r="AS201" s="514"/>
      <c r="AT201" s="515"/>
      <c r="AU201" s="523"/>
      <c r="AV201" s="516"/>
      <c r="AW201" s="515"/>
      <c r="AX201" s="28"/>
      <c r="AY201" s="10"/>
    </row>
    <row r="202" spans="1:51" ht="14.25">
      <c r="A202" s="40"/>
      <c r="B202" s="12"/>
      <c r="C202" s="12" t="s">
        <v>1738</v>
      </c>
      <c r="D202" s="455" t="s">
        <v>1739</v>
      </c>
      <c r="E202" s="455"/>
      <c r="F202" s="455" t="s">
        <v>1694</v>
      </c>
      <c r="G202" s="41" t="s">
        <v>1704</v>
      </c>
      <c r="H202" s="646"/>
      <c r="I202" s="482"/>
      <c r="J202" s="456" t="s">
        <v>343</v>
      </c>
      <c r="K202" s="457"/>
      <c r="L202" s="103"/>
      <c r="M202" s="458"/>
      <c r="N202" s="81"/>
      <c r="O202" s="483"/>
      <c r="P202" s="484"/>
      <c r="Q202" s="484"/>
      <c r="R202" s="484"/>
      <c r="S202" s="485"/>
      <c r="T202" s="486"/>
      <c r="U202" s="514"/>
      <c r="V202" s="514"/>
      <c r="W202" s="514"/>
      <c r="X202" s="514"/>
      <c r="Y202" s="514"/>
      <c r="Z202" s="514"/>
      <c r="AA202" s="514"/>
      <c r="AB202" s="514"/>
      <c r="AC202" s="514"/>
      <c r="AD202" s="514"/>
      <c r="AE202" s="514"/>
      <c r="AF202" s="514"/>
      <c r="AG202" s="514"/>
      <c r="AH202" s="514"/>
      <c r="AI202" s="514"/>
      <c r="AJ202" s="514"/>
      <c r="AK202" s="514"/>
      <c r="AL202" s="514"/>
      <c r="AM202" s="514"/>
      <c r="AN202" s="514"/>
      <c r="AO202" s="514"/>
      <c r="AP202" s="514"/>
      <c r="AQ202" s="514"/>
      <c r="AR202" s="514"/>
      <c r="AS202" s="514"/>
      <c r="AT202" s="515"/>
      <c r="AU202" s="523"/>
      <c r="AV202" s="516"/>
      <c r="AW202" s="515"/>
      <c r="AX202" s="28"/>
      <c r="AY202" s="10"/>
    </row>
    <row r="203" spans="1:51" ht="14.25">
      <c r="A203" s="40"/>
      <c r="B203" s="12"/>
      <c r="C203" s="12" t="s">
        <v>1738</v>
      </c>
      <c r="D203" s="455" t="s">
        <v>1739</v>
      </c>
      <c r="E203" s="455"/>
      <c r="F203" s="455" t="s">
        <v>1694</v>
      </c>
      <c r="G203" s="41" t="s">
        <v>1741</v>
      </c>
      <c r="H203" s="646"/>
      <c r="I203" s="482"/>
      <c r="J203" s="456" t="s">
        <v>1742</v>
      </c>
      <c r="K203" s="457"/>
      <c r="L203" s="103"/>
      <c r="M203" s="458"/>
      <c r="N203" s="81"/>
      <c r="O203" s="483"/>
      <c r="P203" s="484"/>
      <c r="Q203" s="484"/>
      <c r="R203" s="484"/>
      <c r="S203" s="485"/>
      <c r="T203" s="486"/>
      <c r="U203" s="514"/>
      <c r="V203" s="514"/>
      <c r="W203" s="514"/>
      <c r="X203" s="514"/>
      <c r="Y203" s="514"/>
      <c r="Z203" s="514"/>
      <c r="AA203" s="514"/>
      <c r="AB203" s="514"/>
      <c r="AC203" s="514"/>
      <c r="AD203" s="514"/>
      <c r="AE203" s="514"/>
      <c r="AF203" s="514"/>
      <c r="AG203" s="514"/>
      <c r="AH203" s="514"/>
      <c r="AI203" s="514"/>
      <c r="AJ203" s="514"/>
      <c r="AK203" s="514"/>
      <c r="AL203" s="514"/>
      <c r="AM203" s="514"/>
      <c r="AN203" s="514"/>
      <c r="AO203" s="514"/>
      <c r="AP203" s="514"/>
      <c r="AQ203" s="514"/>
      <c r="AR203" s="514"/>
      <c r="AS203" s="514"/>
      <c r="AT203" s="515"/>
      <c r="AU203" s="523"/>
      <c r="AV203" s="516"/>
      <c r="AW203" s="515"/>
      <c r="AX203" s="28"/>
      <c r="AY203" s="10"/>
    </row>
    <row r="204" spans="1:51" ht="14.25">
      <c r="A204" s="40"/>
      <c r="B204" s="12"/>
      <c r="C204" s="12" t="s">
        <v>1738</v>
      </c>
      <c r="D204" s="455" t="s">
        <v>1739</v>
      </c>
      <c r="E204" s="455"/>
      <c r="F204" s="455" t="s">
        <v>1694</v>
      </c>
      <c r="G204" s="41" t="s">
        <v>1743</v>
      </c>
      <c r="H204" s="646"/>
      <c r="I204" s="482"/>
      <c r="J204" s="456" t="s">
        <v>1744</v>
      </c>
      <c r="K204" s="457"/>
      <c r="L204" s="103"/>
      <c r="M204" s="458"/>
      <c r="N204" s="81"/>
      <c r="O204" s="483"/>
      <c r="P204" s="484"/>
      <c r="Q204" s="484"/>
      <c r="R204" s="484"/>
      <c r="S204" s="485"/>
      <c r="T204" s="486"/>
      <c r="U204" s="514"/>
      <c r="V204" s="514"/>
      <c r="W204" s="514"/>
      <c r="X204" s="514"/>
      <c r="Y204" s="514"/>
      <c r="Z204" s="514"/>
      <c r="AA204" s="514"/>
      <c r="AB204" s="514"/>
      <c r="AC204" s="514"/>
      <c r="AD204" s="514"/>
      <c r="AE204" s="514"/>
      <c r="AF204" s="514"/>
      <c r="AG204" s="514"/>
      <c r="AH204" s="514"/>
      <c r="AI204" s="514"/>
      <c r="AJ204" s="514"/>
      <c r="AK204" s="514"/>
      <c r="AL204" s="514"/>
      <c r="AM204" s="514"/>
      <c r="AN204" s="514"/>
      <c r="AO204" s="514"/>
      <c r="AP204" s="514"/>
      <c r="AQ204" s="514"/>
      <c r="AR204" s="514"/>
      <c r="AS204" s="514"/>
      <c r="AT204" s="515"/>
      <c r="AU204" s="523"/>
      <c r="AV204" s="516"/>
      <c r="AW204" s="515"/>
      <c r="AX204" s="28"/>
      <c r="AY204" s="10"/>
    </row>
    <row r="205" spans="1:51" ht="14.25">
      <c r="A205" s="40"/>
      <c r="B205" s="12"/>
      <c r="C205" s="12" t="s">
        <v>1738</v>
      </c>
      <c r="D205" s="455" t="s">
        <v>1739</v>
      </c>
      <c r="E205" s="455"/>
      <c r="F205" s="455" t="s">
        <v>1694</v>
      </c>
      <c r="G205" s="41" t="s">
        <v>1729</v>
      </c>
      <c r="H205" s="646"/>
      <c r="I205" s="482"/>
      <c r="J205" s="456" t="s">
        <v>1730</v>
      </c>
      <c r="K205" s="457"/>
      <c r="L205" s="103"/>
      <c r="M205" s="458"/>
      <c r="N205" s="81"/>
      <c r="O205" s="483"/>
      <c r="P205" s="484"/>
      <c r="Q205" s="484"/>
      <c r="R205" s="484"/>
      <c r="S205" s="485"/>
      <c r="T205" s="486"/>
      <c r="U205" s="514"/>
      <c r="V205" s="514"/>
      <c r="W205" s="514"/>
      <c r="X205" s="514"/>
      <c r="Y205" s="514"/>
      <c r="Z205" s="514"/>
      <c r="AA205" s="514"/>
      <c r="AB205" s="514"/>
      <c r="AC205" s="514"/>
      <c r="AD205" s="514"/>
      <c r="AE205" s="514"/>
      <c r="AF205" s="514"/>
      <c r="AG205" s="514"/>
      <c r="AH205" s="514"/>
      <c r="AI205" s="514"/>
      <c r="AJ205" s="514"/>
      <c r="AK205" s="514"/>
      <c r="AL205" s="514"/>
      <c r="AM205" s="514"/>
      <c r="AN205" s="514"/>
      <c r="AO205" s="514"/>
      <c r="AP205" s="514"/>
      <c r="AQ205" s="514"/>
      <c r="AR205" s="514"/>
      <c r="AS205" s="514"/>
      <c r="AT205" s="515"/>
      <c r="AU205" s="523"/>
      <c r="AV205" s="516"/>
      <c r="AW205" s="515"/>
      <c r="AX205" s="28"/>
      <c r="AY205" s="10"/>
    </row>
    <row r="206" spans="1:51" ht="14.25">
      <c r="A206" s="40"/>
      <c r="B206" s="12"/>
      <c r="C206" s="12" t="s">
        <v>1738</v>
      </c>
      <c r="D206" s="455" t="s">
        <v>1739</v>
      </c>
      <c r="E206" s="455"/>
      <c r="F206" s="455" t="s">
        <v>1694</v>
      </c>
      <c r="G206" s="41" t="s">
        <v>1731</v>
      </c>
      <c r="H206" s="646"/>
      <c r="I206" s="482"/>
      <c r="J206" s="456" t="s">
        <v>1732</v>
      </c>
      <c r="K206" s="457"/>
      <c r="L206" s="103"/>
      <c r="M206" s="458"/>
      <c r="N206" s="81"/>
      <c r="O206" s="483"/>
      <c r="P206" s="484"/>
      <c r="Q206" s="484"/>
      <c r="R206" s="484"/>
      <c r="S206" s="485"/>
      <c r="T206" s="486"/>
      <c r="U206" s="514"/>
      <c r="V206" s="514"/>
      <c r="W206" s="514"/>
      <c r="X206" s="514"/>
      <c r="Y206" s="514"/>
      <c r="Z206" s="514"/>
      <c r="AA206" s="514"/>
      <c r="AB206" s="514"/>
      <c r="AC206" s="514"/>
      <c r="AD206" s="514"/>
      <c r="AE206" s="514"/>
      <c r="AF206" s="514"/>
      <c r="AG206" s="514"/>
      <c r="AH206" s="514"/>
      <c r="AI206" s="514"/>
      <c r="AJ206" s="514"/>
      <c r="AK206" s="514"/>
      <c r="AL206" s="514"/>
      <c r="AM206" s="514"/>
      <c r="AN206" s="514"/>
      <c r="AO206" s="514"/>
      <c r="AP206" s="514"/>
      <c r="AQ206" s="514"/>
      <c r="AR206" s="514"/>
      <c r="AS206" s="514"/>
      <c r="AT206" s="515"/>
      <c r="AU206" s="523"/>
      <c r="AV206" s="516"/>
      <c r="AW206" s="515"/>
      <c r="AX206" s="28"/>
      <c r="AY206" s="10"/>
    </row>
    <row r="207" spans="1:51" ht="14.25">
      <c r="A207" s="40"/>
      <c r="B207" s="12"/>
      <c r="C207" s="12" t="s">
        <v>1738</v>
      </c>
      <c r="D207" s="455" t="s">
        <v>1739</v>
      </c>
      <c r="E207" s="455"/>
      <c r="F207" s="455" t="s">
        <v>1694</v>
      </c>
      <c r="G207" s="41" t="s">
        <v>1705</v>
      </c>
      <c r="H207" s="646"/>
      <c r="I207" s="482"/>
      <c r="J207" s="456" t="s">
        <v>344</v>
      </c>
      <c r="K207" s="457"/>
      <c r="L207" s="103"/>
      <c r="M207" s="458"/>
      <c r="N207" s="81"/>
      <c r="O207" s="483"/>
      <c r="P207" s="484"/>
      <c r="Q207" s="484"/>
      <c r="R207" s="484"/>
      <c r="S207" s="485"/>
      <c r="T207" s="486"/>
      <c r="U207" s="514"/>
      <c r="V207" s="514"/>
      <c r="W207" s="514"/>
      <c r="X207" s="514"/>
      <c r="Y207" s="514"/>
      <c r="Z207" s="514"/>
      <c r="AA207" s="514"/>
      <c r="AB207" s="514"/>
      <c r="AC207" s="514"/>
      <c r="AD207" s="514"/>
      <c r="AE207" s="514"/>
      <c r="AF207" s="514"/>
      <c r="AG207" s="514"/>
      <c r="AH207" s="514"/>
      <c r="AI207" s="514"/>
      <c r="AJ207" s="514"/>
      <c r="AK207" s="514"/>
      <c r="AL207" s="514"/>
      <c r="AM207" s="514"/>
      <c r="AN207" s="514"/>
      <c r="AO207" s="514"/>
      <c r="AP207" s="514"/>
      <c r="AQ207" s="514"/>
      <c r="AR207" s="514"/>
      <c r="AS207" s="514"/>
      <c r="AT207" s="515"/>
      <c r="AU207" s="523"/>
      <c r="AV207" s="516"/>
      <c r="AW207" s="515"/>
      <c r="AX207" s="28"/>
      <c r="AY207" s="10"/>
    </row>
    <row r="208" spans="1:51" ht="14.25">
      <c r="A208" s="40"/>
      <c r="B208" s="12"/>
      <c r="C208" s="12" t="s">
        <v>1738</v>
      </c>
      <c r="D208" s="455" t="s">
        <v>1739</v>
      </c>
      <c r="E208" s="455"/>
      <c r="F208" s="455" t="s">
        <v>1694</v>
      </c>
      <c r="G208" s="41" t="s">
        <v>1735</v>
      </c>
      <c r="H208" s="646"/>
      <c r="I208" s="482"/>
      <c r="J208" s="456" t="s">
        <v>1736</v>
      </c>
      <c r="K208" s="457"/>
      <c r="L208" s="103"/>
      <c r="M208" s="458"/>
      <c r="N208" s="81"/>
      <c r="O208" s="483"/>
      <c r="P208" s="484"/>
      <c r="Q208" s="484"/>
      <c r="R208" s="484"/>
      <c r="S208" s="485"/>
      <c r="T208" s="486"/>
      <c r="U208" s="514"/>
      <c r="V208" s="514"/>
      <c r="W208" s="514"/>
      <c r="X208" s="514"/>
      <c r="Y208" s="514"/>
      <c r="Z208" s="514"/>
      <c r="AA208" s="514"/>
      <c r="AB208" s="514"/>
      <c r="AC208" s="514"/>
      <c r="AD208" s="514"/>
      <c r="AE208" s="514"/>
      <c r="AF208" s="514"/>
      <c r="AG208" s="514"/>
      <c r="AH208" s="514"/>
      <c r="AI208" s="514"/>
      <c r="AJ208" s="514"/>
      <c r="AK208" s="514"/>
      <c r="AL208" s="514"/>
      <c r="AM208" s="514"/>
      <c r="AN208" s="514"/>
      <c r="AO208" s="514"/>
      <c r="AP208" s="514"/>
      <c r="AQ208" s="514"/>
      <c r="AR208" s="514"/>
      <c r="AS208" s="514"/>
      <c r="AT208" s="515"/>
      <c r="AU208" s="523"/>
      <c r="AV208" s="516"/>
      <c r="AW208" s="515"/>
      <c r="AX208" s="28"/>
      <c r="AY208" s="10"/>
    </row>
    <row r="209" spans="1:51" ht="14.25">
      <c r="A209" s="40"/>
      <c r="B209" s="12"/>
      <c r="C209" s="12" t="s">
        <v>1738</v>
      </c>
      <c r="D209" s="455" t="s">
        <v>1739</v>
      </c>
      <c r="E209" s="455"/>
      <c r="F209" s="455" t="s">
        <v>1694</v>
      </c>
      <c r="G209" s="41" t="s">
        <v>1708</v>
      </c>
      <c r="H209" s="646"/>
      <c r="I209" s="482"/>
      <c r="J209" s="456" t="s">
        <v>1709</v>
      </c>
      <c r="K209" s="457"/>
      <c r="L209" s="103"/>
      <c r="M209" s="458"/>
      <c r="N209" s="81"/>
      <c r="O209" s="483"/>
      <c r="P209" s="484"/>
      <c r="Q209" s="484"/>
      <c r="R209" s="484"/>
      <c r="S209" s="485"/>
      <c r="T209" s="486"/>
      <c r="U209" s="514"/>
      <c r="V209" s="514"/>
      <c r="W209" s="514"/>
      <c r="X209" s="514"/>
      <c r="Y209" s="514"/>
      <c r="Z209" s="514"/>
      <c r="AA209" s="514"/>
      <c r="AB209" s="514"/>
      <c r="AC209" s="514"/>
      <c r="AD209" s="514"/>
      <c r="AE209" s="514"/>
      <c r="AF209" s="514"/>
      <c r="AG209" s="514"/>
      <c r="AH209" s="514"/>
      <c r="AI209" s="514"/>
      <c r="AJ209" s="514"/>
      <c r="AK209" s="514"/>
      <c r="AL209" s="514"/>
      <c r="AM209" s="514"/>
      <c r="AN209" s="514"/>
      <c r="AO209" s="514"/>
      <c r="AP209" s="514"/>
      <c r="AQ209" s="514"/>
      <c r="AR209" s="514"/>
      <c r="AS209" s="514"/>
      <c r="AT209" s="515"/>
      <c r="AU209" s="523"/>
      <c r="AV209" s="516"/>
      <c r="AW209" s="515"/>
      <c r="AX209" s="28"/>
      <c r="AY209" s="10"/>
    </row>
    <row r="210" spans="1:51" ht="14.25">
      <c r="A210" s="40"/>
      <c r="B210" s="12"/>
      <c r="C210" s="12" t="s">
        <v>1738</v>
      </c>
      <c r="D210" s="455" t="s">
        <v>1739</v>
      </c>
      <c r="E210" s="455"/>
      <c r="F210" s="455" t="s">
        <v>1694</v>
      </c>
      <c r="G210" s="41" t="s">
        <v>638</v>
      </c>
      <c r="H210" s="646"/>
      <c r="I210" s="482"/>
      <c r="J210" s="456" t="s">
        <v>336</v>
      </c>
      <c r="K210" s="457"/>
      <c r="L210" s="103"/>
      <c r="M210" s="458"/>
      <c r="N210" s="81"/>
      <c r="O210" s="483"/>
      <c r="P210" s="484"/>
      <c r="Q210" s="484"/>
      <c r="R210" s="484"/>
      <c r="S210" s="485"/>
      <c r="T210" s="486"/>
      <c r="U210" s="514"/>
      <c r="V210" s="514"/>
      <c r="W210" s="514"/>
      <c r="X210" s="514"/>
      <c r="Y210" s="514"/>
      <c r="Z210" s="514"/>
      <c r="AA210" s="514"/>
      <c r="AB210" s="514"/>
      <c r="AC210" s="514"/>
      <c r="AD210" s="514"/>
      <c r="AE210" s="514"/>
      <c r="AF210" s="514"/>
      <c r="AG210" s="514"/>
      <c r="AH210" s="514"/>
      <c r="AI210" s="514"/>
      <c r="AJ210" s="514"/>
      <c r="AK210" s="514"/>
      <c r="AL210" s="514"/>
      <c r="AM210" s="514"/>
      <c r="AN210" s="514"/>
      <c r="AO210" s="514"/>
      <c r="AP210" s="514"/>
      <c r="AQ210" s="514"/>
      <c r="AR210" s="514"/>
      <c r="AS210" s="514"/>
      <c r="AT210" s="515"/>
      <c r="AU210" s="523"/>
      <c r="AV210" s="516"/>
      <c r="AW210" s="515"/>
      <c r="AX210" s="28"/>
      <c r="AY210" s="10"/>
    </row>
    <row r="211" spans="1:51" ht="14.25">
      <c r="A211" s="40"/>
      <c r="B211" s="12"/>
      <c r="C211" s="12" t="s">
        <v>1738</v>
      </c>
      <c r="D211" s="455" t="s">
        <v>1739</v>
      </c>
      <c r="E211" s="455"/>
      <c r="F211" s="455" t="s">
        <v>1694</v>
      </c>
      <c r="G211" s="41" t="s">
        <v>1745</v>
      </c>
      <c r="H211" s="646"/>
      <c r="I211" s="482"/>
      <c r="J211" s="456" t="s">
        <v>1746</v>
      </c>
      <c r="K211" s="457"/>
      <c r="L211" s="103"/>
      <c r="M211" s="458"/>
      <c r="N211" s="81"/>
      <c r="O211" s="483"/>
      <c r="P211" s="484"/>
      <c r="Q211" s="484"/>
      <c r="R211" s="484"/>
      <c r="S211" s="485"/>
      <c r="T211" s="486"/>
      <c r="U211" s="514"/>
      <c r="V211" s="514"/>
      <c r="W211" s="514"/>
      <c r="X211" s="514"/>
      <c r="Y211" s="514"/>
      <c r="Z211" s="514"/>
      <c r="AA211" s="514"/>
      <c r="AB211" s="514"/>
      <c r="AC211" s="514"/>
      <c r="AD211" s="514"/>
      <c r="AE211" s="514"/>
      <c r="AF211" s="514"/>
      <c r="AG211" s="514"/>
      <c r="AH211" s="514"/>
      <c r="AI211" s="514"/>
      <c r="AJ211" s="514"/>
      <c r="AK211" s="514"/>
      <c r="AL211" s="514"/>
      <c r="AM211" s="514"/>
      <c r="AN211" s="514"/>
      <c r="AO211" s="514"/>
      <c r="AP211" s="514"/>
      <c r="AQ211" s="514"/>
      <c r="AR211" s="514"/>
      <c r="AS211" s="514"/>
      <c r="AT211" s="515"/>
      <c r="AU211" s="523"/>
      <c r="AV211" s="516"/>
      <c r="AW211" s="515"/>
      <c r="AX211" s="28"/>
      <c r="AY211" s="10"/>
    </row>
    <row r="212" spans="1:51" ht="14.25">
      <c r="A212" s="40"/>
      <c r="B212" s="12"/>
      <c r="C212" s="12" t="s">
        <v>1738</v>
      </c>
      <c r="D212" s="455" t="s">
        <v>1739</v>
      </c>
      <c r="E212" s="455"/>
      <c r="F212" s="455" t="s">
        <v>1694</v>
      </c>
      <c r="G212" s="41" t="s">
        <v>1698</v>
      </c>
      <c r="H212" s="646"/>
      <c r="I212" s="482"/>
      <c r="J212" s="456" t="s">
        <v>338</v>
      </c>
      <c r="K212" s="457"/>
      <c r="L212" s="103"/>
      <c r="M212" s="458"/>
      <c r="N212" s="81"/>
      <c r="O212" s="483"/>
      <c r="P212" s="484"/>
      <c r="Q212" s="484"/>
      <c r="R212" s="484"/>
      <c r="S212" s="485"/>
      <c r="T212" s="486"/>
      <c r="U212" s="514"/>
      <c r="V212" s="514"/>
      <c r="W212" s="514"/>
      <c r="X212" s="514"/>
      <c r="Y212" s="514"/>
      <c r="Z212" s="514"/>
      <c r="AA212" s="514"/>
      <c r="AB212" s="514"/>
      <c r="AC212" s="514"/>
      <c r="AD212" s="514"/>
      <c r="AE212" s="514"/>
      <c r="AF212" s="514"/>
      <c r="AG212" s="514"/>
      <c r="AH212" s="514"/>
      <c r="AI212" s="514"/>
      <c r="AJ212" s="514"/>
      <c r="AK212" s="514"/>
      <c r="AL212" s="514"/>
      <c r="AM212" s="514"/>
      <c r="AN212" s="514"/>
      <c r="AO212" s="514"/>
      <c r="AP212" s="514"/>
      <c r="AQ212" s="514"/>
      <c r="AR212" s="514"/>
      <c r="AS212" s="514"/>
      <c r="AT212" s="515"/>
      <c r="AU212" s="523"/>
      <c r="AV212" s="516"/>
      <c r="AW212" s="515"/>
      <c r="AX212" s="28"/>
      <c r="AY212" s="10"/>
    </row>
    <row r="213" spans="1:51" ht="14.25">
      <c r="A213" s="40"/>
      <c r="B213" s="12"/>
      <c r="C213" s="12" t="s">
        <v>1738</v>
      </c>
      <c r="D213" s="455" t="s">
        <v>1739</v>
      </c>
      <c r="E213" s="455"/>
      <c r="F213" s="455" t="s">
        <v>1694</v>
      </c>
      <c r="G213" s="41" t="s">
        <v>1747</v>
      </c>
      <c r="H213" s="646"/>
      <c r="I213" s="482"/>
      <c r="J213" s="456" t="s">
        <v>1748</v>
      </c>
      <c r="K213" s="457"/>
      <c r="L213" s="103"/>
      <c r="M213" s="458"/>
      <c r="N213" s="81"/>
      <c r="O213" s="483"/>
      <c r="P213" s="484"/>
      <c r="Q213" s="484"/>
      <c r="R213" s="484"/>
      <c r="S213" s="485"/>
      <c r="T213" s="486"/>
      <c r="U213" s="514"/>
      <c r="V213" s="514"/>
      <c r="W213" s="514"/>
      <c r="X213" s="514"/>
      <c r="Y213" s="514"/>
      <c r="Z213" s="514"/>
      <c r="AA213" s="514"/>
      <c r="AB213" s="514"/>
      <c r="AC213" s="514"/>
      <c r="AD213" s="514"/>
      <c r="AE213" s="514"/>
      <c r="AF213" s="514"/>
      <c r="AG213" s="514"/>
      <c r="AH213" s="514"/>
      <c r="AI213" s="514"/>
      <c r="AJ213" s="514"/>
      <c r="AK213" s="514"/>
      <c r="AL213" s="514"/>
      <c r="AM213" s="514"/>
      <c r="AN213" s="514"/>
      <c r="AO213" s="514"/>
      <c r="AP213" s="514"/>
      <c r="AQ213" s="514"/>
      <c r="AR213" s="514"/>
      <c r="AS213" s="514"/>
      <c r="AT213" s="515"/>
      <c r="AU213" s="523"/>
      <c r="AV213" s="516"/>
      <c r="AW213" s="515"/>
      <c r="AX213" s="28"/>
      <c r="AY213" s="10"/>
    </row>
    <row r="214" spans="1:51" ht="14.25">
      <c r="A214" s="40"/>
      <c r="B214" s="12"/>
      <c r="C214" s="12" t="s">
        <v>1738</v>
      </c>
      <c r="D214" s="455" t="s">
        <v>1739</v>
      </c>
      <c r="E214" s="455"/>
      <c r="F214" s="455" t="s">
        <v>1694</v>
      </c>
      <c r="G214" s="41" t="s">
        <v>1702</v>
      </c>
      <c r="H214" s="646"/>
      <c r="I214" s="482"/>
      <c r="J214" s="456" t="s">
        <v>341</v>
      </c>
      <c r="K214" s="457"/>
      <c r="L214" s="103"/>
      <c r="M214" s="458"/>
      <c r="N214" s="81"/>
      <c r="O214" s="483"/>
      <c r="P214" s="484"/>
      <c r="Q214" s="484"/>
      <c r="R214" s="484"/>
      <c r="S214" s="485"/>
      <c r="T214" s="486"/>
      <c r="U214" s="514"/>
      <c r="V214" s="514"/>
      <c r="W214" s="514"/>
      <c r="X214" s="514"/>
      <c r="Y214" s="514"/>
      <c r="Z214" s="514"/>
      <c r="AA214" s="514"/>
      <c r="AB214" s="514"/>
      <c r="AC214" s="514"/>
      <c r="AD214" s="514"/>
      <c r="AE214" s="514"/>
      <c r="AF214" s="514"/>
      <c r="AG214" s="514"/>
      <c r="AH214" s="514"/>
      <c r="AI214" s="514"/>
      <c r="AJ214" s="514"/>
      <c r="AK214" s="514"/>
      <c r="AL214" s="514"/>
      <c r="AM214" s="514"/>
      <c r="AN214" s="514"/>
      <c r="AO214" s="514"/>
      <c r="AP214" s="514"/>
      <c r="AQ214" s="514"/>
      <c r="AR214" s="514"/>
      <c r="AS214" s="514"/>
      <c r="AT214" s="515"/>
      <c r="AU214" s="523"/>
      <c r="AV214" s="516"/>
      <c r="AW214" s="515"/>
      <c r="AX214" s="28"/>
      <c r="AY214" s="10"/>
    </row>
    <row r="215" spans="1:51" ht="14.25">
      <c r="A215" s="40"/>
      <c r="B215" s="12"/>
      <c r="C215" s="12" t="s">
        <v>1738</v>
      </c>
      <c r="D215" s="455" t="s">
        <v>1739</v>
      </c>
      <c r="E215" s="455"/>
      <c r="F215" s="455" t="s">
        <v>1694</v>
      </c>
      <c r="G215" s="41" t="s">
        <v>650</v>
      </c>
      <c r="H215" s="646"/>
      <c r="I215" s="482"/>
      <c r="J215" s="456" t="s">
        <v>1699</v>
      </c>
      <c r="K215" s="457"/>
      <c r="L215" s="103"/>
      <c r="M215" s="458"/>
      <c r="N215" s="81"/>
      <c r="O215" s="483"/>
      <c r="P215" s="484"/>
      <c r="Q215" s="484"/>
      <c r="R215" s="484"/>
      <c r="S215" s="485"/>
      <c r="T215" s="486"/>
      <c r="U215" s="514"/>
      <c r="V215" s="514"/>
      <c r="W215" s="514"/>
      <c r="X215" s="514"/>
      <c r="Y215" s="514"/>
      <c r="Z215" s="514"/>
      <c r="AA215" s="514"/>
      <c r="AB215" s="514"/>
      <c r="AC215" s="514"/>
      <c r="AD215" s="514"/>
      <c r="AE215" s="514"/>
      <c r="AF215" s="514"/>
      <c r="AG215" s="514"/>
      <c r="AH215" s="514"/>
      <c r="AI215" s="514"/>
      <c r="AJ215" s="514"/>
      <c r="AK215" s="514"/>
      <c r="AL215" s="514"/>
      <c r="AM215" s="514"/>
      <c r="AN215" s="514"/>
      <c r="AO215" s="514"/>
      <c r="AP215" s="514"/>
      <c r="AQ215" s="514"/>
      <c r="AR215" s="514"/>
      <c r="AS215" s="514"/>
      <c r="AT215" s="515"/>
      <c r="AU215" s="523"/>
      <c r="AV215" s="516"/>
      <c r="AW215" s="515"/>
      <c r="AX215" s="28"/>
      <c r="AY215" s="10"/>
    </row>
    <row r="216" spans="1:51" ht="14.25">
      <c r="A216" s="40"/>
      <c r="B216" s="12"/>
      <c r="C216" s="12" t="s">
        <v>1738</v>
      </c>
      <c r="D216" s="455" t="s">
        <v>1739</v>
      </c>
      <c r="E216" s="455"/>
      <c r="F216" s="455" t="s">
        <v>1694</v>
      </c>
      <c r="G216" s="41" t="s">
        <v>1706</v>
      </c>
      <c r="H216" s="646"/>
      <c r="I216" s="482"/>
      <c r="J216" s="456" t="s">
        <v>1707</v>
      </c>
      <c r="K216" s="457"/>
      <c r="L216" s="103"/>
      <c r="M216" s="458"/>
      <c r="N216" s="81"/>
      <c r="O216" s="483"/>
      <c r="P216" s="484"/>
      <c r="Q216" s="484"/>
      <c r="R216" s="484"/>
      <c r="S216" s="485"/>
      <c r="T216" s="486"/>
      <c r="U216" s="514"/>
      <c r="V216" s="514"/>
      <c r="W216" s="514"/>
      <c r="X216" s="514"/>
      <c r="Y216" s="514"/>
      <c r="Z216" s="514"/>
      <c r="AA216" s="514"/>
      <c r="AB216" s="514"/>
      <c r="AC216" s="514"/>
      <c r="AD216" s="514"/>
      <c r="AE216" s="514"/>
      <c r="AF216" s="514"/>
      <c r="AG216" s="514"/>
      <c r="AH216" s="514"/>
      <c r="AI216" s="514"/>
      <c r="AJ216" s="514"/>
      <c r="AK216" s="514"/>
      <c r="AL216" s="514"/>
      <c r="AM216" s="514"/>
      <c r="AN216" s="514"/>
      <c r="AO216" s="514"/>
      <c r="AP216" s="514"/>
      <c r="AQ216" s="514"/>
      <c r="AR216" s="514"/>
      <c r="AS216" s="514"/>
      <c r="AT216" s="515"/>
      <c r="AU216" s="523"/>
      <c r="AV216" s="516"/>
      <c r="AW216" s="515"/>
      <c r="AX216" s="28"/>
      <c r="AY216" s="10"/>
    </row>
    <row r="217" spans="1:51" ht="14.25">
      <c r="A217" s="40"/>
      <c r="B217" s="12"/>
      <c r="C217" s="12" t="s">
        <v>1738</v>
      </c>
      <c r="D217" s="455" t="s">
        <v>1739</v>
      </c>
      <c r="E217" s="455"/>
      <c r="F217" s="455" t="s">
        <v>1694</v>
      </c>
      <c r="G217" s="41" t="s">
        <v>1701</v>
      </c>
      <c r="H217" s="646"/>
      <c r="I217" s="482"/>
      <c r="J217" s="456" t="s">
        <v>340</v>
      </c>
      <c r="K217" s="457"/>
      <c r="L217" s="103"/>
      <c r="M217" s="458"/>
      <c r="N217" s="81"/>
      <c r="O217" s="483"/>
      <c r="P217" s="484"/>
      <c r="Q217" s="484"/>
      <c r="R217" s="484"/>
      <c r="S217" s="485"/>
      <c r="T217" s="486"/>
      <c r="U217" s="514"/>
      <c r="V217" s="514"/>
      <c r="W217" s="514"/>
      <c r="X217" s="514"/>
      <c r="Y217" s="514"/>
      <c r="Z217" s="514"/>
      <c r="AA217" s="514"/>
      <c r="AB217" s="514"/>
      <c r="AC217" s="514"/>
      <c r="AD217" s="514"/>
      <c r="AE217" s="514"/>
      <c r="AF217" s="514"/>
      <c r="AG217" s="514"/>
      <c r="AH217" s="514"/>
      <c r="AI217" s="514"/>
      <c r="AJ217" s="514"/>
      <c r="AK217" s="514"/>
      <c r="AL217" s="514"/>
      <c r="AM217" s="514"/>
      <c r="AN217" s="514"/>
      <c r="AO217" s="514"/>
      <c r="AP217" s="514"/>
      <c r="AQ217" s="514"/>
      <c r="AR217" s="514"/>
      <c r="AS217" s="514"/>
      <c r="AT217" s="515"/>
      <c r="AU217" s="523"/>
      <c r="AV217" s="516"/>
      <c r="AW217" s="515"/>
      <c r="AX217" s="28"/>
      <c r="AY217" s="10"/>
    </row>
    <row r="218" spans="1:51" ht="14.25">
      <c r="A218" s="40"/>
      <c r="B218" s="12"/>
      <c r="C218" s="12" t="s">
        <v>1738</v>
      </c>
      <c r="D218" s="455" t="s">
        <v>1739</v>
      </c>
      <c r="E218" s="455"/>
      <c r="F218" s="455" t="s">
        <v>1694</v>
      </c>
      <c r="G218" s="41" t="s">
        <v>1710</v>
      </c>
      <c r="H218" s="646"/>
      <c r="I218" s="489"/>
      <c r="J218" s="462" t="s">
        <v>345</v>
      </c>
      <c r="K218" s="463"/>
      <c r="L218" s="103"/>
      <c r="M218" s="458"/>
      <c r="N218" s="81"/>
      <c r="O218" s="483"/>
      <c r="P218" s="484"/>
      <c r="Q218" s="484"/>
      <c r="R218" s="484"/>
      <c r="S218" s="485"/>
      <c r="T218" s="486"/>
      <c r="U218" s="514"/>
      <c r="V218" s="514"/>
      <c r="W218" s="514"/>
      <c r="X218" s="514"/>
      <c r="Y218" s="514"/>
      <c r="Z218" s="514"/>
      <c r="AA218" s="514"/>
      <c r="AB218" s="514"/>
      <c r="AC218" s="514"/>
      <c r="AD218" s="514"/>
      <c r="AE218" s="514"/>
      <c r="AF218" s="514"/>
      <c r="AG218" s="514"/>
      <c r="AH218" s="514"/>
      <c r="AI218" s="514"/>
      <c r="AJ218" s="514"/>
      <c r="AK218" s="514"/>
      <c r="AL218" s="514"/>
      <c r="AM218" s="514"/>
      <c r="AN218" s="514"/>
      <c r="AO218" s="514"/>
      <c r="AP218" s="514"/>
      <c r="AQ218" s="514"/>
      <c r="AR218" s="514"/>
      <c r="AS218" s="514"/>
      <c r="AT218" s="515"/>
      <c r="AU218" s="523"/>
      <c r="AV218" s="516"/>
      <c r="AW218" s="515"/>
      <c r="AX218" s="28"/>
      <c r="AY218" s="10"/>
    </row>
    <row r="219" spans="1:51" ht="14.25">
      <c r="A219" s="40"/>
      <c r="B219" s="12"/>
      <c r="C219" s="12"/>
      <c r="D219" s="455"/>
      <c r="E219" s="455"/>
      <c r="F219" s="455"/>
      <c r="G219" s="41"/>
      <c r="H219" s="646"/>
      <c r="I219" s="490"/>
      <c r="J219" s="469" t="s">
        <v>1712</v>
      </c>
      <c r="K219" s="470"/>
      <c r="L219" s="103"/>
      <c r="M219" s="458"/>
      <c r="N219" s="81"/>
      <c r="O219" s="483"/>
      <c r="P219" s="484"/>
      <c r="Q219" s="484"/>
      <c r="R219" s="484"/>
      <c r="S219" s="485"/>
      <c r="T219" s="55"/>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335"/>
      <c r="AU219" s="523"/>
      <c r="AV219" s="524"/>
      <c r="AW219" s="335"/>
      <c r="AX219" s="28"/>
      <c r="AY219" s="10"/>
    </row>
    <row r="220" spans="1:51" ht="14.25">
      <c r="A220" s="40"/>
      <c r="B220" s="12"/>
      <c r="C220" s="12" t="s">
        <v>1693</v>
      </c>
      <c r="D220" s="455"/>
      <c r="E220" s="455"/>
      <c r="F220" s="455" t="s">
        <v>1694</v>
      </c>
      <c r="G220" s="41" t="s">
        <v>1753</v>
      </c>
      <c r="H220" s="646"/>
      <c r="I220" s="477"/>
      <c r="J220" s="663" t="s">
        <v>1754</v>
      </c>
      <c r="K220" s="664"/>
      <c r="L220" s="103"/>
      <c r="M220" s="458"/>
      <c r="N220" s="81"/>
      <c r="O220" s="483"/>
      <c r="P220" s="484"/>
      <c r="Q220" s="484"/>
      <c r="R220" s="484"/>
      <c r="S220" s="485"/>
      <c r="T220" s="486"/>
      <c r="U220" s="514"/>
      <c r="V220" s="514"/>
      <c r="W220" s="514"/>
      <c r="X220" s="514"/>
      <c r="Y220" s="514"/>
      <c r="Z220" s="514"/>
      <c r="AA220" s="514"/>
      <c r="AB220" s="514"/>
      <c r="AC220" s="514"/>
      <c r="AD220" s="514"/>
      <c r="AE220" s="514"/>
      <c r="AF220" s="514"/>
      <c r="AG220" s="514"/>
      <c r="AH220" s="514"/>
      <c r="AI220" s="514"/>
      <c r="AJ220" s="514"/>
      <c r="AK220" s="514"/>
      <c r="AL220" s="514"/>
      <c r="AM220" s="514"/>
      <c r="AN220" s="514"/>
      <c r="AO220" s="514"/>
      <c r="AP220" s="514"/>
      <c r="AQ220" s="514"/>
      <c r="AR220" s="514"/>
      <c r="AS220" s="514"/>
      <c r="AT220" s="515"/>
      <c r="AU220" s="523"/>
      <c r="AV220" s="516"/>
      <c r="AW220" s="515"/>
      <c r="AX220" s="28"/>
      <c r="AY220" s="10"/>
    </row>
    <row r="221" spans="1:51" ht="14.25">
      <c r="A221" s="40"/>
      <c r="B221" s="12"/>
      <c r="C221" s="12" t="s">
        <v>1738</v>
      </c>
      <c r="D221" s="455" t="s">
        <v>1739</v>
      </c>
      <c r="E221" s="455"/>
      <c r="F221" s="455" t="s">
        <v>1694</v>
      </c>
      <c r="G221" s="41"/>
      <c r="H221" s="646"/>
      <c r="I221" s="482"/>
      <c r="J221" s="494"/>
      <c r="K221" s="495"/>
      <c r="L221" s="103"/>
      <c r="M221" s="458"/>
      <c r="N221" s="81"/>
      <c r="O221" s="483"/>
      <c r="P221" s="484"/>
      <c r="Q221" s="484"/>
      <c r="R221" s="484"/>
      <c r="S221" s="485"/>
      <c r="T221" s="486"/>
      <c r="U221" s="514"/>
      <c r="V221" s="514"/>
      <c r="W221" s="514"/>
      <c r="X221" s="514"/>
      <c r="Y221" s="514"/>
      <c r="Z221" s="514"/>
      <c r="AA221" s="514"/>
      <c r="AB221" s="514"/>
      <c r="AC221" s="514"/>
      <c r="AD221" s="514"/>
      <c r="AE221" s="514"/>
      <c r="AF221" s="514"/>
      <c r="AG221" s="514"/>
      <c r="AH221" s="514"/>
      <c r="AI221" s="514"/>
      <c r="AJ221" s="514"/>
      <c r="AK221" s="514"/>
      <c r="AL221" s="514"/>
      <c r="AM221" s="514"/>
      <c r="AN221" s="514"/>
      <c r="AO221" s="514"/>
      <c r="AP221" s="514"/>
      <c r="AQ221" s="514"/>
      <c r="AR221" s="514"/>
      <c r="AS221" s="514"/>
      <c r="AT221" s="515"/>
      <c r="AU221" s="523"/>
      <c r="AV221" s="516"/>
      <c r="AW221" s="515"/>
      <c r="AX221" s="28"/>
      <c r="AY221" s="10"/>
    </row>
    <row r="222" spans="1:51" ht="14.25">
      <c r="A222" s="40"/>
      <c r="B222" s="12"/>
      <c r="C222" s="12" t="s">
        <v>1738</v>
      </c>
      <c r="D222" s="455" t="s">
        <v>1739</v>
      </c>
      <c r="E222" s="455"/>
      <c r="F222" s="455" t="s">
        <v>1694</v>
      </c>
      <c r="G222" s="41"/>
      <c r="H222" s="646"/>
      <c r="I222" s="482"/>
      <c r="J222" s="494"/>
      <c r="K222" s="495"/>
      <c r="L222" s="103"/>
      <c r="M222" s="458"/>
      <c r="N222" s="81"/>
      <c r="O222" s="483"/>
      <c r="P222" s="484"/>
      <c r="Q222" s="484"/>
      <c r="R222" s="484"/>
      <c r="S222" s="485"/>
      <c r="T222" s="486"/>
      <c r="U222" s="514"/>
      <c r="V222" s="514"/>
      <c r="W222" s="514"/>
      <c r="X222" s="514"/>
      <c r="Y222" s="514"/>
      <c r="Z222" s="514"/>
      <c r="AA222" s="514"/>
      <c r="AB222" s="514"/>
      <c r="AC222" s="514"/>
      <c r="AD222" s="514"/>
      <c r="AE222" s="514"/>
      <c r="AF222" s="514"/>
      <c r="AG222" s="514"/>
      <c r="AH222" s="514"/>
      <c r="AI222" s="514"/>
      <c r="AJ222" s="514"/>
      <c r="AK222" s="514"/>
      <c r="AL222" s="514"/>
      <c r="AM222" s="514"/>
      <c r="AN222" s="514"/>
      <c r="AO222" s="514"/>
      <c r="AP222" s="514"/>
      <c r="AQ222" s="514"/>
      <c r="AR222" s="514"/>
      <c r="AS222" s="514"/>
      <c r="AT222" s="515"/>
      <c r="AU222" s="523"/>
      <c r="AV222" s="516"/>
      <c r="AW222" s="515"/>
      <c r="AX222" s="28"/>
      <c r="AY222" s="10"/>
    </row>
    <row r="223" spans="1:51" ht="14.25">
      <c r="A223" s="40"/>
      <c r="B223" s="12"/>
      <c r="C223" s="12" t="s">
        <v>1738</v>
      </c>
      <c r="D223" s="455" t="s">
        <v>1739</v>
      </c>
      <c r="E223" s="455"/>
      <c r="F223" s="455" t="s">
        <v>1694</v>
      </c>
      <c r="G223" s="41"/>
      <c r="H223" s="646"/>
      <c r="I223" s="482"/>
      <c r="J223" s="494"/>
      <c r="K223" s="495"/>
      <c r="L223" s="103"/>
      <c r="M223" s="458"/>
      <c r="N223" s="81"/>
      <c r="O223" s="483"/>
      <c r="P223" s="484"/>
      <c r="Q223" s="484"/>
      <c r="R223" s="484"/>
      <c r="S223" s="485"/>
      <c r="T223" s="486"/>
      <c r="U223" s="514"/>
      <c r="V223" s="514"/>
      <c r="W223" s="514"/>
      <c r="X223" s="514"/>
      <c r="Y223" s="514"/>
      <c r="Z223" s="514"/>
      <c r="AA223" s="514"/>
      <c r="AB223" s="514"/>
      <c r="AC223" s="514"/>
      <c r="AD223" s="514"/>
      <c r="AE223" s="514"/>
      <c r="AF223" s="514"/>
      <c r="AG223" s="514"/>
      <c r="AH223" s="514"/>
      <c r="AI223" s="514"/>
      <c r="AJ223" s="514"/>
      <c r="AK223" s="514"/>
      <c r="AL223" s="514"/>
      <c r="AM223" s="514"/>
      <c r="AN223" s="514"/>
      <c r="AO223" s="514"/>
      <c r="AP223" s="514"/>
      <c r="AQ223" s="514"/>
      <c r="AR223" s="514"/>
      <c r="AS223" s="514"/>
      <c r="AT223" s="515"/>
      <c r="AU223" s="523"/>
      <c r="AV223" s="516"/>
      <c r="AW223" s="515"/>
      <c r="AX223" s="28"/>
      <c r="AY223" s="10"/>
    </row>
    <row r="224" spans="1:51" ht="14.25">
      <c r="A224" s="40"/>
      <c r="B224" s="12"/>
      <c r="C224" s="12" t="s">
        <v>1738</v>
      </c>
      <c r="D224" s="455" t="s">
        <v>1739</v>
      </c>
      <c r="E224" s="455"/>
      <c r="F224" s="455" t="s">
        <v>1694</v>
      </c>
      <c r="G224" s="41"/>
      <c r="H224" s="646"/>
      <c r="I224" s="482"/>
      <c r="J224" s="494"/>
      <c r="K224" s="495"/>
      <c r="L224" s="103"/>
      <c r="M224" s="458"/>
      <c r="N224" s="81"/>
      <c r="O224" s="483"/>
      <c r="P224" s="484"/>
      <c r="Q224" s="484"/>
      <c r="R224" s="484"/>
      <c r="S224" s="485"/>
      <c r="T224" s="486"/>
      <c r="U224" s="514"/>
      <c r="V224" s="514"/>
      <c r="W224" s="514"/>
      <c r="X224" s="514"/>
      <c r="Y224" s="514"/>
      <c r="Z224" s="514"/>
      <c r="AA224" s="514"/>
      <c r="AB224" s="514"/>
      <c r="AC224" s="514"/>
      <c r="AD224" s="514"/>
      <c r="AE224" s="514"/>
      <c r="AF224" s="514"/>
      <c r="AG224" s="514"/>
      <c r="AH224" s="514"/>
      <c r="AI224" s="514"/>
      <c r="AJ224" s="514"/>
      <c r="AK224" s="514"/>
      <c r="AL224" s="514"/>
      <c r="AM224" s="514"/>
      <c r="AN224" s="514"/>
      <c r="AO224" s="514"/>
      <c r="AP224" s="514"/>
      <c r="AQ224" s="514"/>
      <c r="AR224" s="514"/>
      <c r="AS224" s="514"/>
      <c r="AT224" s="515"/>
      <c r="AU224" s="523"/>
      <c r="AV224" s="516"/>
      <c r="AW224" s="515"/>
      <c r="AX224" s="28"/>
      <c r="AY224" s="10"/>
    </row>
    <row r="225" spans="1:51" ht="14.25">
      <c r="A225" s="45"/>
      <c r="B225" s="46"/>
      <c r="C225" s="46" t="s">
        <v>1738</v>
      </c>
      <c r="D225" s="476" t="s">
        <v>1739</v>
      </c>
      <c r="E225" s="476"/>
      <c r="F225" s="476" t="s">
        <v>1694</v>
      </c>
      <c r="G225" s="47"/>
      <c r="H225" s="646"/>
      <c r="I225" s="489"/>
      <c r="J225" s="496"/>
      <c r="K225" s="497"/>
      <c r="L225" s="103"/>
      <c r="M225" s="464"/>
      <c r="N225" s="81"/>
      <c r="O225" s="498"/>
      <c r="P225" s="499"/>
      <c r="Q225" s="499"/>
      <c r="R225" s="499"/>
      <c r="S225" s="500"/>
      <c r="T225" s="503"/>
      <c r="U225" s="519"/>
      <c r="V225" s="519"/>
      <c r="W225" s="519"/>
      <c r="X225" s="519"/>
      <c r="Y225" s="519"/>
      <c r="Z225" s="519"/>
      <c r="AA225" s="519"/>
      <c r="AB225" s="519"/>
      <c r="AC225" s="519"/>
      <c r="AD225" s="519"/>
      <c r="AE225" s="519"/>
      <c r="AF225" s="519"/>
      <c r="AG225" s="519"/>
      <c r="AH225" s="519"/>
      <c r="AI225" s="519"/>
      <c r="AJ225" s="519"/>
      <c r="AK225" s="519"/>
      <c r="AL225" s="519"/>
      <c r="AM225" s="519"/>
      <c r="AN225" s="519"/>
      <c r="AO225" s="519"/>
      <c r="AP225" s="519"/>
      <c r="AQ225" s="519"/>
      <c r="AR225" s="519"/>
      <c r="AS225" s="519"/>
      <c r="AT225" s="520"/>
      <c r="AU225" s="523"/>
      <c r="AV225" s="521"/>
      <c r="AW225" s="520"/>
      <c r="AX225" s="28"/>
      <c r="AY225" s="10"/>
    </row>
    <row r="226" spans="1:51" ht="14.25">
      <c r="A226" s="92"/>
      <c r="B226" s="92"/>
      <c r="C226" s="92"/>
      <c r="D226" s="91"/>
      <c r="E226" s="91"/>
      <c r="F226" s="91"/>
      <c r="G226" s="159"/>
      <c r="H226" s="647"/>
      <c r="I226" s="490"/>
      <c r="J226" s="469" t="s">
        <v>1755</v>
      </c>
      <c r="K226" s="525"/>
      <c r="L226" s="103"/>
      <c r="M226" s="471"/>
      <c r="N226" s="81"/>
      <c r="O226" s="526">
        <f t="shared" ref="O226:AW226" si="10">SUM(O182:O225)</f>
        <v>0</v>
      </c>
      <c r="P226" s="527">
        <f t="shared" si="10"/>
        <v>0</v>
      </c>
      <c r="Q226" s="527">
        <f t="shared" si="10"/>
        <v>0</v>
      </c>
      <c r="R226" s="527">
        <f t="shared" si="10"/>
        <v>0</v>
      </c>
      <c r="S226" s="531">
        <f t="shared" si="10"/>
        <v>0</v>
      </c>
      <c r="T226" s="472">
        <f t="shared" si="10"/>
        <v>0</v>
      </c>
      <c r="U226" s="473">
        <f t="shared" si="10"/>
        <v>0</v>
      </c>
      <c r="V226" s="473">
        <f t="shared" si="10"/>
        <v>0</v>
      </c>
      <c r="W226" s="473">
        <f t="shared" si="10"/>
        <v>0</v>
      </c>
      <c r="X226" s="473">
        <f t="shared" si="10"/>
        <v>0</v>
      </c>
      <c r="Y226" s="473">
        <f t="shared" si="10"/>
        <v>0</v>
      </c>
      <c r="Z226" s="473">
        <f t="shared" si="10"/>
        <v>0</v>
      </c>
      <c r="AA226" s="473">
        <f t="shared" si="10"/>
        <v>0</v>
      </c>
      <c r="AB226" s="473">
        <f t="shared" si="10"/>
        <v>0</v>
      </c>
      <c r="AC226" s="473">
        <f t="shared" si="10"/>
        <v>0</v>
      </c>
      <c r="AD226" s="473">
        <f t="shared" si="10"/>
        <v>0</v>
      </c>
      <c r="AE226" s="473">
        <f t="shared" si="10"/>
        <v>0</v>
      </c>
      <c r="AF226" s="473">
        <f t="shared" si="10"/>
        <v>0</v>
      </c>
      <c r="AG226" s="473">
        <f t="shared" si="10"/>
        <v>0</v>
      </c>
      <c r="AH226" s="473">
        <f t="shared" si="10"/>
        <v>0</v>
      </c>
      <c r="AI226" s="473">
        <f t="shared" si="10"/>
        <v>0</v>
      </c>
      <c r="AJ226" s="473">
        <f t="shared" si="10"/>
        <v>0</v>
      </c>
      <c r="AK226" s="473">
        <f t="shared" si="10"/>
        <v>0</v>
      </c>
      <c r="AL226" s="473">
        <f t="shared" si="10"/>
        <v>0</v>
      </c>
      <c r="AM226" s="473">
        <f t="shared" si="10"/>
        <v>0</v>
      </c>
      <c r="AN226" s="473">
        <f t="shared" si="10"/>
        <v>0</v>
      </c>
      <c r="AO226" s="473">
        <f t="shared" si="10"/>
        <v>0</v>
      </c>
      <c r="AP226" s="473">
        <f t="shared" si="10"/>
        <v>0</v>
      </c>
      <c r="AQ226" s="473">
        <f t="shared" si="10"/>
        <v>0</v>
      </c>
      <c r="AR226" s="473">
        <f t="shared" si="10"/>
        <v>0</v>
      </c>
      <c r="AS226" s="473">
        <f t="shared" si="10"/>
        <v>0</v>
      </c>
      <c r="AT226" s="474">
        <f t="shared" si="10"/>
        <v>0</v>
      </c>
      <c r="AU226" s="528"/>
      <c r="AV226" s="472">
        <f t="shared" si="10"/>
        <v>0</v>
      </c>
      <c r="AW226" s="474">
        <f t="shared" si="10"/>
        <v>0</v>
      </c>
      <c r="AX226" s="28"/>
      <c r="AY226" s="10"/>
    </row>
    <row r="227" spans="1:51" ht="14.25">
      <c r="A227" s="15"/>
      <c r="B227" s="15"/>
      <c r="C227" s="15"/>
      <c r="D227" s="532"/>
      <c r="E227" s="532"/>
      <c r="F227" s="532"/>
      <c r="G227" s="15"/>
      <c r="H227" s="90"/>
      <c r="I227" s="90"/>
      <c r="J227" s="533"/>
      <c r="K227" s="533"/>
      <c r="L227" s="98"/>
      <c r="M227" s="240"/>
      <c r="N227" s="10"/>
      <c r="O227" s="346"/>
      <c r="P227" s="346"/>
      <c r="Q227" s="346"/>
      <c r="R227" s="346"/>
      <c r="S227" s="346"/>
      <c r="T227" s="346"/>
      <c r="U227" s="240"/>
      <c r="V227" s="240"/>
      <c r="W227" s="240"/>
      <c r="X227" s="240"/>
      <c r="Y227" s="240"/>
      <c r="Z227" s="240"/>
      <c r="AA227" s="240"/>
      <c r="AB227" s="240"/>
      <c r="AC227" s="240"/>
      <c r="AD227" s="240"/>
      <c r="AE227" s="240"/>
      <c r="AF227" s="240"/>
      <c r="AG227" s="240"/>
      <c r="AH227" s="240"/>
      <c r="AI227" s="240"/>
      <c r="AJ227" s="240"/>
      <c r="AK227" s="240"/>
      <c r="AL227" s="240"/>
      <c r="AM227" s="240"/>
      <c r="AN227" s="240"/>
      <c r="AO227" s="240"/>
      <c r="AP227" s="240"/>
      <c r="AQ227" s="240"/>
      <c r="AR227" s="240"/>
      <c r="AS227" s="240"/>
      <c r="AT227" s="240"/>
      <c r="AU227" s="529"/>
      <c r="AV227" s="240"/>
      <c r="AW227" s="240"/>
      <c r="AX227" s="10"/>
      <c r="AY227" s="10"/>
    </row>
    <row r="228" spans="1:51" ht="13.5" customHeight="1">
      <c r="A228" s="40"/>
      <c r="B228" s="12"/>
      <c r="C228" s="12" t="s">
        <v>1693</v>
      </c>
      <c r="D228" s="455"/>
      <c r="E228" s="455"/>
      <c r="F228" s="455" t="s">
        <v>1721</v>
      </c>
      <c r="G228" s="41" t="s">
        <v>1722</v>
      </c>
      <c r="H228" s="645" t="s">
        <v>1756</v>
      </c>
      <c r="I228" s="534"/>
      <c r="J228" s="448" t="s">
        <v>1757</v>
      </c>
      <c r="K228" s="449"/>
      <c r="L228" s="103"/>
      <c r="M228" s="450"/>
      <c r="N228" s="81"/>
      <c r="O228" s="478"/>
      <c r="P228" s="479"/>
      <c r="Q228" s="479"/>
      <c r="R228" s="479"/>
      <c r="S228" s="480"/>
      <c r="T228" s="508"/>
      <c r="U228" s="509"/>
      <c r="V228" s="509"/>
      <c r="W228" s="509"/>
      <c r="X228" s="509"/>
      <c r="Y228" s="509"/>
      <c r="Z228" s="509"/>
      <c r="AA228" s="509"/>
      <c r="AB228" s="509"/>
      <c r="AC228" s="509"/>
      <c r="AD228" s="509"/>
      <c r="AE228" s="509"/>
      <c r="AF228" s="509"/>
      <c r="AG228" s="509"/>
      <c r="AH228" s="509"/>
      <c r="AI228" s="509"/>
      <c r="AJ228" s="509"/>
      <c r="AK228" s="509"/>
      <c r="AL228" s="509"/>
      <c r="AM228" s="509"/>
      <c r="AN228" s="509"/>
      <c r="AO228" s="509"/>
      <c r="AP228" s="509"/>
      <c r="AQ228" s="509"/>
      <c r="AR228" s="509"/>
      <c r="AS228" s="509"/>
      <c r="AT228" s="510"/>
      <c r="AU228" s="523"/>
      <c r="AV228" s="511"/>
      <c r="AW228" s="510"/>
      <c r="AX228" s="28"/>
      <c r="AY228" s="10"/>
    </row>
    <row r="229" spans="1:51" ht="12.75" customHeight="1">
      <c r="A229" s="40"/>
      <c r="B229" s="12"/>
      <c r="C229" s="12" t="s">
        <v>1693</v>
      </c>
      <c r="D229" s="455"/>
      <c r="E229" s="455"/>
      <c r="F229" s="455">
        <v>2</v>
      </c>
      <c r="G229" s="41" t="s">
        <v>476</v>
      </c>
      <c r="H229" s="646"/>
      <c r="I229" s="535"/>
      <c r="J229" s="456" t="s">
        <v>1758</v>
      </c>
      <c r="K229" s="457"/>
      <c r="L229" s="103"/>
      <c r="M229" s="458"/>
      <c r="N229" s="81"/>
      <c r="O229" s="483"/>
      <c r="P229" s="484"/>
      <c r="Q229" s="484"/>
      <c r="R229" s="484"/>
      <c r="S229" s="485"/>
      <c r="T229" s="486"/>
      <c r="U229" s="487"/>
      <c r="V229" s="487"/>
      <c r="W229" s="487"/>
      <c r="X229" s="487"/>
      <c r="Y229" s="514"/>
      <c r="Z229" s="514"/>
      <c r="AA229" s="514"/>
      <c r="AB229" s="514"/>
      <c r="AC229" s="514"/>
      <c r="AD229" s="514"/>
      <c r="AE229" s="514"/>
      <c r="AF229" s="514"/>
      <c r="AG229" s="514"/>
      <c r="AH229" s="514"/>
      <c r="AI229" s="514"/>
      <c r="AJ229" s="514"/>
      <c r="AK229" s="514"/>
      <c r="AL229" s="487"/>
      <c r="AM229" s="487"/>
      <c r="AN229" s="514"/>
      <c r="AO229" s="514"/>
      <c r="AP229" s="514"/>
      <c r="AQ229" s="487"/>
      <c r="AR229" s="514"/>
      <c r="AS229" s="514"/>
      <c r="AT229" s="488"/>
      <c r="AU229" s="523"/>
      <c r="AV229" s="516"/>
      <c r="AW229" s="488"/>
      <c r="AX229" s="28"/>
      <c r="AY229" s="10"/>
    </row>
    <row r="230" spans="1:51" ht="13.5" customHeight="1">
      <c r="A230" s="40"/>
      <c r="B230" s="12"/>
      <c r="C230" s="12" t="s">
        <v>1693</v>
      </c>
      <c r="D230" s="455"/>
      <c r="E230" s="455"/>
      <c r="F230" s="455" t="s">
        <v>1721</v>
      </c>
      <c r="G230" s="41" t="s">
        <v>1724</v>
      </c>
      <c r="H230" s="646"/>
      <c r="I230" s="482"/>
      <c r="J230" s="456" t="s">
        <v>1759</v>
      </c>
      <c r="K230" s="457"/>
      <c r="L230" s="103"/>
      <c r="M230" s="458"/>
      <c r="N230" s="81"/>
      <c r="O230" s="483"/>
      <c r="P230" s="484"/>
      <c r="Q230" s="484"/>
      <c r="R230" s="484"/>
      <c r="S230" s="485"/>
      <c r="T230" s="486"/>
      <c r="U230" s="487"/>
      <c r="V230" s="487"/>
      <c r="W230" s="487"/>
      <c r="X230" s="487"/>
      <c r="Y230" s="514"/>
      <c r="Z230" s="514"/>
      <c r="AA230" s="514"/>
      <c r="AB230" s="514"/>
      <c r="AC230" s="514"/>
      <c r="AD230" s="514"/>
      <c r="AE230" s="514"/>
      <c r="AF230" s="514"/>
      <c r="AG230" s="514"/>
      <c r="AH230" s="514"/>
      <c r="AI230" s="514"/>
      <c r="AJ230" s="514"/>
      <c r="AK230" s="514"/>
      <c r="AL230" s="487"/>
      <c r="AM230" s="487"/>
      <c r="AN230" s="514"/>
      <c r="AO230" s="514"/>
      <c r="AP230" s="514"/>
      <c r="AQ230" s="487"/>
      <c r="AR230" s="514"/>
      <c r="AS230" s="514"/>
      <c r="AT230" s="488"/>
      <c r="AU230" s="523"/>
      <c r="AV230" s="516"/>
      <c r="AW230" s="488"/>
      <c r="AX230" s="28"/>
      <c r="AY230" s="10"/>
    </row>
    <row r="231" spans="1:51" ht="13.5" customHeight="1">
      <c r="A231" s="40"/>
      <c r="B231" s="12"/>
      <c r="C231" s="12" t="s">
        <v>1693</v>
      </c>
      <c r="D231" s="455"/>
      <c r="E231" s="455"/>
      <c r="F231" s="455" t="s">
        <v>1752</v>
      </c>
      <c r="G231" s="41" t="s">
        <v>1760</v>
      </c>
      <c r="H231" s="646"/>
      <c r="I231" s="482"/>
      <c r="J231" s="456" t="s">
        <v>1761</v>
      </c>
      <c r="K231" s="457"/>
      <c r="L231" s="103"/>
      <c r="M231" s="458"/>
      <c r="N231" s="81"/>
      <c r="O231" s="483"/>
      <c r="P231" s="484"/>
      <c r="Q231" s="484"/>
      <c r="R231" s="484"/>
      <c r="S231" s="485"/>
      <c r="T231" s="486"/>
      <c r="U231" s="514"/>
      <c r="V231" s="514"/>
      <c r="W231" s="514"/>
      <c r="X231" s="514"/>
      <c r="Y231" s="514"/>
      <c r="Z231" s="514"/>
      <c r="AA231" s="514"/>
      <c r="AB231" s="514"/>
      <c r="AC231" s="514"/>
      <c r="AD231" s="514"/>
      <c r="AE231" s="514"/>
      <c r="AF231" s="514"/>
      <c r="AG231" s="514"/>
      <c r="AH231" s="514"/>
      <c r="AI231" s="514"/>
      <c r="AJ231" s="514"/>
      <c r="AK231" s="514"/>
      <c r="AL231" s="514"/>
      <c r="AM231" s="514"/>
      <c r="AN231" s="514"/>
      <c r="AO231" s="514"/>
      <c r="AP231" s="514"/>
      <c r="AQ231" s="514"/>
      <c r="AR231" s="514"/>
      <c r="AS231" s="514"/>
      <c r="AT231" s="515"/>
      <c r="AU231" s="523"/>
      <c r="AV231" s="516"/>
      <c r="AW231" s="515"/>
      <c r="AX231" s="28"/>
      <c r="AY231" s="10"/>
    </row>
    <row r="232" spans="1:51" ht="14.25">
      <c r="A232" s="40"/>
      <c r="B232" s="12"/>
      <c r="C232" s="12" t="s">
        <v>1693</v>
      </c>
      <c r="D232" s="455"/>
      <c r="E232" s="455"/>
      <c r="F232" s="455" t="s">
        <v>1752</v>
      </c>
      <c r="G232" s="41" t="s">
        <v>1722</v>
      </c>
      <c r="H232" s="646"/>
      <c r="I232" s="482"/>
      <c r="J232" s="456" t="s">
        <v>1762</v>
      </c>
      <c r="K232" s="457"/>
      <c r="L232" s="103"/>
      <c r="M232" s="458"/>
      <c r="N232" s="81"/>
      <c r="O232" s="483"/>
      <c r="P232" s="484"/>
      <c r="Q232" s="484"/>
      <c r="R232" s="484"/>
      <c r="S232" s="485"/>
      <c r="T232" s="486"/>
      <c r="U232" s="514"/>
      <c r="V232" s="514"/>
      <c r="W232" s="514"/>
      <c r="X232" s="514"/>
      <c r="Y232" s="514"/>
      <c r="Z232" s="514"/>
      <c r="AA232" s="514"/>
      <c r="AB232" s="514"/>
      <c r="AC232" s="514"/>
      <c r="AD232" s="514"/>
      <c r="AE232" s="514"/>
      <c r="AF232" s="514"/>
      <c r="AG232" s="514"/>
      <c r="AH232" s="514"/>
      <c r="AI232" s="514"/>
      <c r="AJ232" s="514"/>
      <c r="AK232" s="514"/>
      <c r="AL232" s="514"/>
      <c r="AM232" s="514"/>
      <c r="AN232" s="514"/>
      <c r="AO232" s="514"/>
      <c r="AP232" s="514"/>
      <c r="AQ232" s="514"/>
      <c r="AR232" s="514"/>
      <c r="AS232" s="514"/>
      <c r="AT232" s="515"/>
      <c r="AU232" s="523"/>
      <c r="AV232" s="516"/>
      <c r="AW232" s="515"/>
      <c r="AX232" s="28"/>
      <c r="AY232" s="10"/>
    </row>
    <row r="233" spans="1:51" ht="14.25">
      <c r="A233" s="40"/>
      <c r="B233" s="12"/>
      <c r="C233" s="12" t="s">
        <v>1693</v>
      </c>
      <c r="D233" s="455"/>
      <c r="E233" s="455"/>
      <c r="F233" s="455" t="s">
        <v>1752</v>
      </c>
      <c r="G233" s="41" t="s">
        <v>1724</v>
      </c>
      <c r="H233" s="646"/>
      <c r="I233" s="482"/>
      <c r="J233" s="456" t="s">
        <v>1763</v>
      </c>
      <c r="K233" s="457"/>
      <c r="L233" s="103"/>
      <c r="M233" s="458"/>
      <c r="N233" s="81"/>
      <c r="O233" s="483"/>
      <c r="P233" s="484"/>
      <c r="Q233" s="484"/>
      <c r="R233" s="484"/>
      <c r="S233" s="485"/>
      <c r="T233" s="486"/>
      <c r="U233" s="487"/>
      <c r="V233" s="487"/>
      <c r="W233" s="514"/>
      <c r="X233" s="514"/>
      <c r="Y233" s="514"/>
      <c r="Z233" s="514"/>
      <c r="AA233" s="514"/>
      <c r="AB233" s="514"/>
      <c r="AC233" s="514"/>
      <c r="AD233" s="514"/>
      <c r="AE233" s="514"/>
      <c r="AF233" s="514"/>
      <c r="AG233" s="514"/>
      <c r="AH233" s="514"/>
      <c r="AI233" s="514"/>
      <c r="AJ233" s="514"/>
      <c r="AK233" s="514"/>
      <c r="AL233" s="487"/>
      <c r="AM233" s="487"/>
      <c r="AN233" s="514"/>
      <c r="AO233" s="514"/>
      <c r="AP233" s="514"/>
      <c r="AQ233" s="487"/>
      <c r="AR233" s="514"/>
      <c r="AS233" s="514"/>
      <c r="AT233" s="488"/>
      <c r="AU233" s="523"/>
      <c r="AV233" s="516"/>
      <c r="AW233" s="488"/>
      <c r="AX233" s="28"/>
      <c r="AY233" s="10"/>
    </row>
    <row r="234" spans="1:51" ht="14.25">
      <c r="A234" s="40"/>
      <c r="B234" s="12"/>
      <c r="C234" s="12" t="s">
        <v>1693</v>
      </c>
      <c r="D234" s="455"/>
      <c r="E234" s="455"/>
      <c r="F234" s="455" t="s">
        <v>1726</v>
      </c>
      <c r="G234" s="41" t="s">
        <v>1760</v>
      </c>
      <c r="H234" s="646"/>
      <c r="I234" s="482"/>
      <c r="J234" s="456" t="s">
        <v>1764</v>
      </c>
      <c r="K234" s="457"/>
      <c r="L234" s="103"/>
      <c r="M234" s="458"/>
      <c r="N234" s="81"/>
      <c r="O234" s="483"/>
      <c r="P234" s="484"/>
      <c r="Q234" s="484"/>
      <c r="R234" s="484"/>
      <c r="S234" s="485"/>
      <c r="T234" s="486"/>
      <c r="U234" s="514"/>
      <c r="V234" s="514"/>
      <c r="W234" s="514"/>
      <c r="X234" s="514"/>
      <c r="Y234" s="514"/>
      <c r="Z234" s="514"/>
      <c r="AA234" s="514"/>
      <c r="AB234" s="514"/>
      <c r="AC234" s="514"/>
      <c r="AD234" s="514"/>
      <c r="AE234" s="514"/>
      <c r="AF234" s="514"/>
      <c r="AG234" s="514"/>
      <c r="AH234" s="514"/>
      <c r="AI234" s="514"/>
      <c r="AJ234" s="514"/>
      <c r="AK234" s="514"/>
      <c r="AL234" s="514"/>
      <c r="AM234" s="514"/>
      <c r="AN234" s="514"/>
      <c r="AO234" s="514"/>
      <c r="AP234" s="514"/>
      <c r="AQ234" s="514"/>
      <c r="AR234" s="514"/>
      <c r="AS234" s="514"/>
      <c r="AT234" s="515"/>
      <c r="AU234" s="523"/>
      <c r="AV234" s="516"/>
      <c r="AW234" s="515"/>
      <c r="AX234" s="28"/>
      <c r="AY234" s="10"/>
    </row>
    <row r="235" spans="1:51" ht="14.25">
      <c r="A235" s="40"/>
      <c r="B235" s="12"/>
      <c r="C235" s="12" t="s">
        <v>1693</v>
      </c>
      <c r="D235" s="455"/>
      <c r="E235" s="455"/>
      <c r="F235" s="455" t="s">
        <v>1726</v>
      </c>
      <c r="G235" s="41" t="s">
        <v>1722</v>
      </c>
      <c r="H235" s="646"/>
      <c r="I235" s="482"/>
      <c r="J235" s="456" t="s">
        <v>1765</v>
      </c>
      <c r="K235" s="457"/>
      <c r="L235" s="103"/>
      <c r="M235" s="458"/>
      <c r="N235" s="81"/>
      <c r="O235" s="483"/>
      <c r="P235" s="484"/>
      <c r="Q235" s="484"/>
      <c r="R235" s="484"/>
      <c r="S235" s="485"/>
      <c r="T235" s="486"/>
      <c r="U235" s="514"/>
      <c r="V235" s="514"/>
      <c r="W235" s="514"/>
      <c r="X235" s="514"/>
      <c r="Y235" s="514"/>
      <c r="Z235" s="514"/>
      <c r="AA235" s="514"/>
      <c r="AB235" s="514"/>
      <c r="AC235" s="514"/>
      <c r="AD235" s="514"/>
      <c r="AE235" s="514"/>
      <c r="AF235" s="514"/>
      <c r="AG235" s="514"/>
      <c r="AH235" s="514"/>
      <c r="AI235" s="514"/>
      <c r="AJ235" s="514"/>
      <c r="AK235" s="514"/>
      <c r="AL235" s="514"/>
      <c r="AM235" s="514"/>
      <c r="AN235" s="514"/>
      <c r="AO235" s="514"/>
      <c r="AP235" s="514"/>
      <c r="AQ235" s="514"/>
      <c r="AR235" s="514"/>
      <c r="AS235" s="514"/>
      <c r="AT235" s="515"/>
      <c r="AU235" s="523"/>
      <c r="AV235" s="516"/>
      <c r="AW235" s="515"/>
      <c r="AX235" s="28"/>
      <c r="AY235" s="10"/>
    </row>
    <row r="236" spans="1:51" ht="14.25">
      <c r="A236" s="40"/>
      <c r="B236" s="12"/>
      <c r="C236" s="12" t="s">
        <v>1693</v>
      </c>
      <c r="D236" s="455"/>
      <c r="E236" s="455"/>
      <c r="F236" s="455" t="s">
        <v>1726</v>
      </c>
      <c r="G236" s="41" t="s">
        <v>1724</v>
      </c>
      <c r="H236" s="646"/>
      <c r="I236" s="482"/>
      <c r="J236" s="456" t="s">
        <v>1766</v>
      </c>
      <c r="K236" s="457"/>
      <c r="L236" s="103"/>
      <c r="M236" s="458"/>
      <c r="N236" s="81"/>
      <c r="O236" s="483"/>
      <c r="P236" s="484"/>
      <c r="Q236" s="484"/>
      <c r="R236" s="484"/>
      <c r="S236" s="485"/>
      <c r="T236" s="486"/>
      <c r="U236" s="487"/>
      <c r="V236" s="487"/>
      <c r="W236" s="487"/>
      <c r="X236" s="514"/>
      <c r="Y236" s="514"/>
      <c r="Z236" s="514"/>
      <c r="AA236" s="514"/>
      <c r="AB236" s="514"/>
      <c r="AC236" s="514"/>
      <c r="AD236" s="514"/>
      <c r="AE236" s="514"/>
      <c r="AF236" s="514"/>
      <c r="AG236" s="514"/>
      <c r="AH236" s="514"/>
      <c r="AI236" s="514"/>
      <c r="AJ236" s="514"/>
      <c r="AK236" s="514"/>
      <c r="AL236" s="487"/>
      <c r="AM236" s="514"/>
      <c r="AN236" s="514"/>
      <c r="AO236" s="514"/>
      <c r="AP236" s="514"/>
      <c r="AQ236" s="487"/>
      <c r="AR236" s="514"/>
      <c r="AS236" s="514"/>
      <c r="AT236" s="488"/>
      <c r="AU236" s="523"/>
      <c r="AV236" s="516"/>
      <c r="AW236" s="488"/>
      <c r="AX236" s="28"/>
      <c r="AY236" s="10"/>
    </row>
    <row r="237" spans="1:51" ht="14.25">
      <c r="A237" s="40"/>
      <c r="B237" s="12"/>
      <c r="C237" s="12" t="s">
        <v>1738</v>
      </c>
      <c r="D237" s="455" t="s">
        <v>1739</v>
      </c>
      <c r="E237" s="455"/>
      <c r="F237" s="455" t="s">
        <v>1767</v>
      </c>
      <c r="G237" s="41" t="s">
        <v>1760</v>
      </c>
      <c r="H237" s="646"/>
      <c r="I237" s="482"/>
      <c r="J237" s="456" t="s">
        <v>1768</v>
      </c>
      <c r="K237" s="457"/>
      <c r="L237" s="103"/>
      <c r="M237" s="458"/>
      <c r="N237" s="81"/>
      <c r="O237" s="483"/>
      <c r="P237" s="484"/>
      <c r="Q237" s="484"/>
      <c r="R237" s="484"/>
      <c r="S237" s="485"/>
      <c r="T237" s="486"/>
      <c r="U237" s="514"/>
      <c r="V237" s="514"/>
      <c r="W237" s="514"/>
      <c r="X237" s="514"/>
      <c r="Y237" s="514"/>
      <c r="Z237" s="514"/>
      <c r="AA237" s="514"/>
      <c r="AB237" s="514"/>
      <c r="AC237" s="514"/>
      <c r="AD237" s="514"/>
      <c r="AE237" s="514"/>
      <c r="AF237" s="514"/>
      <c r="AG237" s="514"/>
      <c r="AH237" s="514"/>
      <c r="AI237" s="514"/>
      <c r="AJ237" s="514"/>
      <c r="AK237" s="514"/>
      <c r="AL237" s="514"/>
      <c r="AM237" s="514"/>
      <c r="AN237" s="514"/>
      <c r="AO237" s="514"/>
      <c r="AP237" s="514"/>
      <c r="AQ237" s="514"/>
      <c r="AR237" s="514"/>
      <c r="AS237" s="514"/>
      <c r="AT237" s="515"/>
      <c r="AU237" s="523"/>
      <c r="AV237" s="516"/>
      <c r="AW237" s="515"/>
      <c r="AX237" s="28"/>
      <c r="AY237" s="10"/>
    </row>
    <row r="238" spans="1:51" ht="14.25">
      <c r="A238" s="40"/>
      <c r="B238" s="12"/>
      <c r="C238" s="12" t="s">
        <v>1738</v>
      </c>
      <c r="D238" s="455" t="s">
        <v>1739</v>
      </c>
      <c r="E238" s="455"/>
      <c r="F238" s="455" t="s">
        <v>1767</v>
      </c>
      <c r="G238" s="41" t="s">
        <v>1722</v>
      </c>
      <c r="H238" s="646"/>
      <c r="I238" s="482"/>
      <c r="J238" s="456" t="s">
        <v>1769</v>
      </c>
      <c r="K238" s="457"/>
      <c r="L238" s="103"/>
      <c r="M238" s="458"/>
      <c r="N238" s="81"/>
      <c r="O238" s="483"/>
      <c r="P238" s="484"/>
      <c r="Q238" s="484"/>
      <c r="R238" s="484"/>
      <c r="S238" s="485"/>
      <c r="T238" s="486"/>
      <c r="U238" s="514"/>
      <c r="V238" s="514"/>
      <c r="W238" s="514"/>
      <c r="X238" s="514"/>
      <c r="Y238" s="514"/>
      <c r="Z238" s="514"/>
      <c r="AA238" s="514"/>
      <c r="AB238" s="514"/>
      <c r="AC238" s="514"/>
      <c r="AD238" s="514"/>
      <c r="AE238" s="514"/>
      <c r="AF238" s="514"/>
      <c r="AG238" s="514"/>
      <c r="AH238" s="514"/>
      <c r="AI238" s="514"/>
      <c r="AJ238" s="514"/>
      <c r="AK238" s="514"/>
      <c r="AL238" s="514"/>
      <c r="AM238" s="514"/>
      <c r="AN238" s="514"/>
      <c r="AO238" s="514"/>
      <c r="AP238" s="514"/>
      <c r="AQ238" s="514"/>
      <c r="AR238" s="514"/>
      <c r="AS238" s="514"/>
      <c r="AT238" s="515"/>
      <c r="AU238" s="523"/>
      <c r="AV238" s="516"/>
      <c r="AW238" s="515"/>
      <c r="AX238" s="28"/>
      <c r="AY238" s="10"/>
    </row>
    <row r="239" spans="1:51" ht="14.25">
      <c r="A239" s="40"/>
      <c r="B239" s="12"/>
      <c r="C239" s="12" t="s">
        <v>1738</v>
      </c>
      <c r="D239" s="455" t="s">
        <v>1739</v>
      </c>
      <c r="E239" s="455"/>
      <c r="F239" s="455" t="s">
        <v>1767</v>
      </c>
      <c r="G239" s="41" t="s">
        <v>1724</v>
      </c>
      <c r="H239" s="646"/>
      <c r="I239" s="482"/>
      <c r="J239" s="456" t="s">
        <v>1770</v>
      </c>
      <c r="K239" s="457"/>
      <c r="L239" s="103"/>
      <c r="M239" s="458"/>
      <c r="N239" s="81"/>
      <c r="O239" s="483"/>
      <c r="P239" s="484"/>
      <c r="Q239" s="484"/>
      <c r="R239" s="484"/>
      <c r="S239" s="485"/>
      <c r="T239" s="486"/>
      <c r="U239" s="487"/>
      <c r="V239" s="487"/>
      <c r="W239" s="514"/>
      <c r="X239" s="514"/>
      <c r="Y239" s="514"/>
      <c r="Z239" s="514"/>
      <c r="AA239" s="514"/>
      <c r="AB239" s="514"/>
      <c r="AC239" s="514"/>
      <c r="AD239" s="514"/>
      <c r="AE239" s="514"/>
      <c r="AF239" s="514"/>
      <c r="AG239" s="514"/>
      <c r="AH239" s="514"/>
      <c r="AI239" s="514"/>
      <c r="AJ239" s="514"/>
      <c r="AK239" s="514"/>
      <c r="AL239" s="487"/>
      <c r="AM239" s="514"/>
      <c r="AN239" s="514"/>
      <c r="AO239" s="514"/>
      <c r="AP239" s="514"/>
      <c r="AQ239" s="487"/>
      <c r="AR239" s="514"/>
      <c r="AS239" s="514"/>
      <c r="AT239" s="488"/>
      <c r="AU239" s="523"/>
      <c r="AV239" s="516"/>
      <c r="AW239" s="488"/>
      <c r="AX239" s="28"/>
      <c r="AY239" s="10"/>
    </row>
    <row r="240" spans="1:51" ht="12.75" customHeight="1">
      <c r="A240" s="40"/>
      <c r="B240" s="12"/>
      <c r="C240" s="12" t="s">
        <v>1771</v>
      </c>
      <c r="D240" s="455" t="s">
        <v>1772</v>
      </c>
      <c r="E240" s="455"/>
      <c r="F240" s="455" t="s">
        <v>1721</v>
      </c>
      <c r="G240" s="41" t="s">
        <v>1722</v>
      </c>
      <c r="H240" s="646"/>
      <c r="I240" s="482"/>
      <c r="J240" s="456" t="s">
        <v>1773</v>
      </c>
      <c r="K240" s="457"/>
      <c r="L240" s="103"/>
      <c r="M240" s="458"/>
      <c r="N240" s="81"/>
      <c r="O240" s="483"/>
      <c r="P240" s="484"/>
      <c r="Q240" s="484"/>
      <c r="R240" s="484"/>
      <c r="S240" s="485"/>
      <c r="T240" s="486"/>
      <c r="U240" s="514"/>
      <c r="V240" s="514"/>
      <c r="W240" s="514"/>
      <c r="X240" s="514"/>
      <c r="Y240" s="514"/>
      <c r="Z240" s="514"/>
      <c r="AA240" s="514"/>
      <c r="AB240" s="514"/>
      <c r="AC240" s="514"/>
      <c r="AD240" s="514"/>
      <c r="AE240" s="514"/>
      <c r="AF240" s="514"/>
      <c r="AG240" s="514"/>
      <c r="AH240" s="514"/>
      <c r="AI240" s="514"/>
      <c r="AJ240" s="514"/>
      <c r="AK240" s="514"/>
      <c r="AL240" s="514"/>
      <c r="AM240" s="514"/>
      <c r="AN240" s="514"/>
      <c r="AO240" s="514"/>
      <c r="AP240" s="514"/>
      <c r="AQ240" s="514"/>
      <c r="AR240" s="514"/>
      <c r="AS240" s="514"/>
      <c r="AT240" s="515"/>
      <c r="AU240" s="523"/>
      <c r="AV240" s="516"/>
      <c r="AW240" s="515"/>
      <c r="AX240" s="28"/>
      <c r="AY240" s="10"/>
    </row>
    <row r="241" spans="1:51" ht="12.75" customHeight="1">
      <c r="A241" s="40"/>
      <c r="B241" s="12"/>
      <c r="C241" s="12" t="s">
        <v>1771</v>
      </c>
      <c r="D241" s="455" t="s">
        <v>1772</v>
      </c>
      <c r="E241" s="455"/>
      <c r="F241" s="455" t="s">
        <v>1721</v>
      </c>
      <c r="G241" s="41" t="s">
        <v>1724</v>
      </c>
      <c r="H241" s="646"/>
      <c r="I241" s="489"/>
      <c r="J241" s="462" t="s">
        <v>1774</v>
      </c>
      <c r="K241" s="463"/>
      <c r="L241" s="103"/>
      <c r="M241" s="458"/>
      <c r="N241" s="81"/>
      <c r="O241" s="483"/>
      <c r="P241" s="484"/>
      <c r="Q241" s="484"/>
      <c r="R241" s="484"/>
      <c r="S241" s="485"/>
      <c r="T241" s="486"/>
      <c r="U241" s="487"/>
      <c r="V241" s="487"/>
      <c r="W241" s="514"/>
      <c r="X241" s="514"/>
      <c r="Y241" s="514"/>
      <c r="Z241" s="514"/>
      <c r="AA241" s="514"/>
      <c r="AB241" s="514"/>
      <c r="AC241" s="514"/>
      <c r="AD241" s="514"/>
      <c r="AE241" s="514"/>
      <c r="AF241" s="514"/>
      <c r="AG241" s="514"/>
      <c r="AH241" s="514"/>
      <c r="AI241" s="514"/>
      <c r="AJ241" s="514"/>
      <c r="AK241" s="514"/>
      <c r="AL241" s="487"/>
      <c r="AM241" s="514"/>
      <c r="AN241" s="514"/>
      <c r="AO241" s="514"/>
      <c r="AP241" s="514"/>
      <c r="AQ241" s="487"/>
      <c r="AR241" s="514"/>
      <c r="AS241" s="514"/>
      <c r="AT241" s="488"/>
      <c r="AU241" s="523"/>
      <c r="AV241" s="516"/>
      <c r="AW241" s="488"/>
      <c r="AX241" s="28"/>
      <c r="AY241" s="10"/>
    </row>
    <row r="242" spans="1:51" ht="13.5" customHeight="1">
      <c r="A242" s="40"/>
      <c r="B242" s="12"/>
      <c r="C242" s="12" t="s">
        <v>1693</v>
      </c>
      <c r="D242" s="455"/>
      <c r="E242" s="455"/>
      <c r="F242" s="455" t="s">
        <v>1721</v>
      </c>
      <c r="G242" s="41" t="s">
        <v>1722</v>
      </c>
      <c r="H242" s="646"/>
      <c r="I242" s="477"/>
      <c r="J242" s="448" t="s">
        <v>1757</v>
      </c>
      <c r="K242" s="449"/>
      <c r="L242" s="103"/>
      <c r="M242" s="536"/>
      <c r="N242" s="81"/>
      <c r="O242" s="483"/>
      <c r="P242" s="484"/>
      <c r="Q242" s="484"/>
      <c r="R242" s="484"/>
      <c r="S242" s="485"/>
      <c r="T242" s="486"/>
      <c r="U242" s="514"/>
      <c r="V242" s="514"/>
      <c r="W242" s="514"/>
      <c r="X242" s="514"/>
      <c r="Y242" s="514"/>
      <c r="Z242" s="514"/>
      <c r="AA242" s="514"/>
      <c r="AB242" s="514"/>
      <c r="AC242" s="514"/>
      <c r="AD242" s="514"/>
      <c r="AE242" s="514"/>
      <c r="AF242" s="514"/>
      <c r="AG242" s="514"/>
      <c r="AH242" s="514"/>
      <c r="AI242" s="514"/>
      <c r="AJ242" s="514"/>
      <c r="AK242" s="514"/>
      <c r="AL242" s="514"/>
      <c r="AM242" s="514"/>
      <c r="AN242" s="514"/>
      <c r="AO242" s="514"/>
      <c r="AP242" s="514"/>
      <c r="AQ242" s="514"/>
      <c r="AR242" s="514"/>
      <c r="AS242" s="514"/>
      <c r="AT242" s="515"/>
      <c r="AU242" s="523"/>
      <c r="AV242" s="516"/>
      <c r="AW242" s="515"/>
      <c r="AX242" s="28"/>
      <c r="AY242" s="10"/>
    </row>
    <row r="243" spans="1:51" ht="12.75" customHeight="1">
      <c r="A243" s="40"/>
      <c r="B243" s="12"/>
      <c r="C243" s="12" t="s">
        <v>1693</v>
      </c>
      <c r="D243" s="455"/>
      <c r="E243" s="455"/>
      <c r="F243" s="455">
        <v>2</v>
      </c>
      <c r="G243" s="41" t="s">
        <v>476</v>
      </c>
      <c r="H243" s="646"/>
      <c r="I243" s="482"/>
      <c r="J243" s="456" t="s">
        <v>1758</v>
      </c>
      <c r="K243" s="457"/>
      <c r="L243" s="103"/>
      <c r="M243" s="537"/>
      <c r="N243" s="81"/>
      <c r="O243" s="483"/>
      <c r="P243" s="484"/>
      <c r="Q243" s="484"/>
      <c r="R243" s="484"/>
      <c r="S243" s="485"/>
      <c r="T243" s="486"/>
      <c r="U243" s="487"/>
      <c r="V243" s="487"/>
      <c r="W243" s="487"/>
      <c r="X243" s="487"/>
      <c r="Y243" s="514"/>
      <c r="Z243" s="514"/>
      <c r="AA243" s="514"/>
      <c r="AB243" s="514"/>
      <c r="AC243" s="514"/>
      <c r="AD243" s="514"/>
      <c r="AE243" s="514"/>
      <c r="AF243" s="514"/>
      <c r="AG243" s="514"/>
      <c r="AH243" s="514"/>
      <c r="AI243" s="514"/>
      <c r="AJ243" s="514"/>
      <c r="AK243" s="514"/>
      <c r="AL243" s="487"/>
      <c r="AM243" s="487"/>
      <c r="AN243" s="514"/>
      <c r="AO243" s="514"/>
      <c r="AP243" s="514"/>
      <c r="AQ243" s="487"/>
      <c r="AR243" s="514"/>
      <c r="AS243" s="514"/>
      <c r="AT243" s="488"/>
      <c r="AU243" s="523"/>
      <c r="AV243" s="516"/>
      <c r="AW243" s="488"/>
      <c r="AX243" s="28"/>
      <c r="AY243" s="10"/>
    </row>
    <row r="244" spans="1:51" ht="13.5" customHeight="1">
      <c r="A244" s="40"/>
      <c r="B244" s="12"/>
      <c r="C244" s="12" t="s">
        <v>1693</v>
      </c>
      <c r="D244" s="455"/>
      <c r="E244" s="455"/>
      <c r="F244" s="455" t="s">
        <v>1721</v>
      </c>
      <c r="G244" s="41" t="s">
        <v>1724</v>
      </c>
      <c r="H244" s="646"/>
      <c r="I244" s="482"/>
      <c r="J244" s="456" t="s">
        <v>1759</v>
      </c>
      <c r="K244" s="457"/>
      <c r="L244" s="103"/>
      <c r="M244" s="458"/>
      <c r="N244" s="81"/>
      <c r="O244" s="483"/>
      <c r="P244" s="484"/>
      <c r="Q244" s="484"/>
      <c r="R244" s="484"/>
      <c r="S244" s="485"/>
      <c r="T244" s="486"/>
      <c r="U244" s="487"/>
      <c r="V244" s="487"/>
      <c r="W244" s="487"/>
      <c r="X244" s="487"/>
      <c r="Y244" s="514"/>
      <c r="Z244" s="514"/>
      <c r="AA244" s="514"/>
      <c r="AB244" s="514"/>
      <c r="AC244" s="514"/>
      <c r="AD244" s="514"/>
      <c r="AE244" s="514"/>
      <c r="AF244" s="514"/>
      <c r="AG244" s="514"/>
      <c r="AH244" s="514"/>
      <c r="AI244" s="514"/>
      <c r="AJ244" s="514"/>
      <c r="AK244" s="514"/>
      <c r="AL244" s="487"/>
      <c r="AM244" s="487"/>
      <c r="AN244" s="514"/>
      <c r="AO244" s="514"/>
      <c r="AP244" s="514"/>
      <c r="AQ244" s="487"/>
      <c r="AR244" s="514"/>
      <c r="AS244" s="514"/>
      <c r="AT244" s="488"/>
      <c r="AU244" s="523"/>
      <c r="AV244" s="516"/>
      <c r="AW244" s="488"/>
      <c r="AX244" s="28"/>
      <c r="AY244" s="10"/>
    </row>
    <row r="245" spans="1:51" ht="13.5" customHeight="1">
      <c r="A245" s="40"/>
      <c r="B245" s="12"/>
      <c r="C245" s="12" t="s">
        <v>1693</v>
      </c>
      <c r="D245" s="455"/>
      <c r="E245" s="455"/>
      <c r="F245" s="455" t="s">
        <v>1752</v>
      </c>
      <c r="G245" s="41" t="s">
        <v>1760</v>
      </c>
      <c r="H245" s="646"/>
      <c r="I245" s="482"/>
      <c r="J245" s="456" t="s">
        <v>1761</v>
      </c>
      <c r="K245" s="457"/>
      <c r="L245" s="103"/>
      <c r="M245" s="458"/>
      <c r="N245" s="81"/>
      <c r="O245" s="483"/>
      <c r="P245" s="484"/>
      <c r="Q245" s="484"/>
      <c r="R245" s="484"/>
      <c r="S245" s="485"/>
      <c r="T245" s="486"/>
      <c r="U245" s="514"/>
      <c r="V245" s="514"/>
      <c r="W245" s="514"/>
      <c r="X245" s="514"/>
      <c r="Y245" s="514"/>
      <c r="Z245" s="514"/>
      <c r="AA245" s="514"/>
      <c r="AB245" s="514"/>
      <c r="AC245" s="514"/>
      <c r="AD245" s="514"/>
      <c r="AE245" s="514"/>
      <c r="AF245" s="514"/>
      <c r="AG245" s="514"/>
      <c r="AH245" s="514"/>
      <c r="AI245" s="514"/>
      <c r="AJ245" s="514"/>
      <c r="AK245" s="514"/>
      <c r="AL245" s="514"/>
      <c r="AM245" s="514"/>
      <c r="AN245" s="514"/>
      <c r="AO245" s="514"/>
      <c r="AP245" s="514"/>
      <c r="AQ245" s="514"/>
      <c r="AR245" s="514"/>
      <c r="AS245" s="514"/>
      <c r="AT245" s="515"/>
      <c r="AU245" s="523"/>
      <c r="AV245" s="516"/>
      <c r="AW245" s="515"/>
      <c r="AX245" s="28"/>
      <c r="AY245" s="10"/>
    </row>
    <row r="246" spans="1:51" ht="14.25">
      <c r="A246" s="40"/>
      <c r="B246" s="12"/>
      <c r="C246" s="12" t="s">
        <v>1693</v>
      </c>
      <c r="D246" s="455"/>
      <c r="E246" s="455"/>
      <c r="F246" s="455" t="s">
        <v>1752</v>
      </c>
      <c r="G246" s="41" t="s">
        <v>1722</v>
      </c>
      <c r="H246" s="646"/>
      <c r="I246" s="482"/>
      <c r="J246" s="456" t="s">
        <v>1762</v>
      </c>
      <c r="K246" s="457"/>
      <c r="L246" s="103"/>
      <c r="M246" s="458"/>
      <c r="N246" s="81"/>
      <c r="O246" s="483"/>
      <c r="P246" s="484"/>
      <c r="Q246" s="484"/>
      <c r="R246" s="484"/>
      <c r="S246" s="485"/>
      <c r="T246" s="486"/>
      <c r="U246" s="514"/>
      <c r="V246" s="514"/>
      <c r="W246" s="514"/>
      <c r="X246" s="514"/>
      <c r="Y246" s="514"/>
      <c r="Z246" s="514"/>
      <c r="AA246" s="514"/>
      <c r="AB246" s="514"/>
      <c r="AC246" s="514"/>
      <c r="AD246" s="514"/>
      <c r="AE246" s="514"/>
      <c r="AF246" s="514"/>
      <c r="AG246" s="514"/>
      <c r="AH246" s="514"/>
      <c r="AI246" s="514"/>
      <c r="AJ246" s="514"/>
      <c r="AK246" s="514"/>
      <c r="AL246" s="514"/>
      <c r="AM246" s="514"/>
      <c r="AN246" s="514"/>
      <c r="AO246" s="514"/>
      <c r="AP246" s="514"/>
      <c r="AQ246" s="514"/>
      <c r="AR246" s="514"/>
      <c r="AS246" s="514"/>
      <c r="AT246" s="515"/>
      <c r="AU246" s="523"/>
      <c r="AV246" s="516"/>
      <c r="AW246" s="515"/>
      <c r="AX246" s="28"/>
      <c r="AY246" s="10"/>
    </row>
    <row r="247" spans="1:51" ht="14.25">
      <c r="A247" s="40"/>
      <c r="B247" s="12"/>
      <c r="C247" s="12" t="s">
        <v>1693</v>
      </c>
      <c r="D247" s="455"/>
      <c r="E247" s="455"/>
      <c r="F247" s="455" t="s">
        <v>1752</v>
      </c>
      <c r="G247" s="41" t="s">
        <v>1724</v>
      </c>
      <c r="H247" s="646"/>
      <c r="I247" s="482"/>
      <c r="J247" s="456" t="s">
        <v>1763</v>
      </c>
      <c r="K247" s="457"/>
      <c r="L247" s="103"/>
      <c r="M247" s="458"/>
      <c r="N247" s="81"/>
      <c r="O247" s="483"/>
      <c r="P247" s="484"/>
      <c r="Q247" s="484"/>
      <c r="R247" s="484"/>
      <c r="S247" s="485"/>
      <c r="T247" s="486"/>
      <c r="U247" s="487"/>
      <c r="V247" s="487"/>
      <c r="W247" s="514"/>
      <c r="X247" s="514"/>
      <c r="Y247" s="514"/>
      <c r="Z247" s="514"/>
      <c r="AA247" s="514"/>
      <c r="AB247" s="514"/>
      <c r="AC247" s="514"/>
      <c r="AD247" s="514"/>
      <c r="AE247" s="514"/>
      <c r="AF247" s="514"/>
      <c r="AG247" s="514"/>
      <c r="AH247" s="514"/>
      <c r="AI247" s="514"/>
      <c r="AJ247" s="514"/>
      <c r="AK247" s="514"/>
      <c r="AL247" s="487"/>
      <c r="AM247" s="487"/>
      <c r="AN247" s="514"/>
      <c r="AO247" s="514"/>
      <c r="AP247" s="514"/>
      <c r="AQ247" s="487"/>
      <c r="AR247" s="514"/>
      <c r="AS247" s="514"/>
      <c r="AT247" s="488"/>
      <c r="AU247" s="523"/>
      <c r="AV247" s="516"/>
      <c r="AW247" s="488"/>
      <c r="AX247" s="28"/>
      <c r="AY247" s="10"/>
    </row>
    <row r="248" spans="1:51" ht="14.25">
      <c r="A248" s="40"/>
      <c r="B248" s="12"/>
      <c r="C248" s="12" t="s">
        <v>1693</v>
      </c>
      <c r="D248" s="455"/>
      <c r="E248" s="455"/>
      <c r="F248" s="455" t="s">
        <v>1726</v>
      </c>
      <c r="G248" s="41" t="s">
        <v>1760</v>
      </c>
      <c r="H248" s="646"/>
      <c r="I248" s="482"/>
      <c r="J248" s="456" t="s">
        <v>1764</v>
      </c>
      <c r="K248" s="457"/>
      <c r="L248" s="103"/>
      <c r="M248" s="458"/>
      <c r="N248" s="81"/>
      <c r="O248" s="483"/>
      <c r="P248" s="484"/>
      <c r="Q248" s="484"/>
      <c r="R248" s="484"/>
      <c r="S248" s="485"/>
      <c r="T248" s="486"/>
      <c r="U248" s="514"/>
      <c r="V248" s="514"/>
      <c r="W248" s="514"/>
      <c r="X248" s="514"/>
      <c r="Y248" s="514"/>
      <c r="Z248" s="514"/>
      <c r="AA248" s="514"/>
      <c r="AB248" s="514"/>
      <c r="AC248" s="514"/>
      <c r="AD248" s="514"/>
      <c r="AE248" s="514"/>
      <c r="AF248" s="514"/>
      <c r="AG248" s="514"/>
      <c r="AH248" s="514"/>
      <c r="AI248" s="514"/>
      <c r="AJ248" s="514"/>
      <c r="AK248" s="514"/>
      <c r="AL248" s="514"/>
      <c r="AM248" s="514"/>
      <c r="AN248" s="514"/>
      <c r="AO248" s="514"/>
      <c r="AP248" s="514"/>
      <c r="AQ248" s="514"/>
      <c r="AR248" s="514"/>
      <c r="AS248" s="514"/>
      <c r="AT248" s="515"/>
      <c r="AU248" s="523"/>
      <c r="AV248" s="516"/>
      <c r="AW248" s="515"/>
      <c r="AX248" s="28"/>
      <c r="AY248" s="10"/>
    </row>
    <row r="249" spans="1:51" ht="14.25">
      <c r="A249" s="40"/>
      <c r="B249" s="12"/>
      <c r="C249" s="12" t="s">
        <v>1693</v>
      </c>
      <c r="D249" s="455"/>
      <c r="E249" s="455"/>
      <c r="F249" s="455" t="s">
        <v>1726</v>
      </c>
      <c r="G249" s="41" t="s">
        <v>1722</v>
      </c>
      <c r="H249" s="646"/>
      <c r="I249" s="482"/>
      <c r="J249" s="456" t="s">
        <v>1765</v>
      </c>
      <c r="K249" s="457"/>
      <c r="L249" s="103"/>
      <c r="M249" s="458"/>
      <c r="N249" s="81"/>
      <c r="O249" s="483"/>
      <c r="P249" s="484"/>
      <c r="Q249" s="484"/>
      <c r="R249" s="484"/>
      <c r="S249" s="485"/>
      <c r="T249" s="486"/>
      <c r="U249" s="514"/>
      <c r="V249" s="514"/>
      <c r="W249" s="514"/>
      <c r="X249" s="514"/>
      <c r="Y249" s="514"/>
      <c r="Z249" s="514"/>
      <c r="AA249" s="514"/>
      <c r="AB249" s="514"/>
      <c r="AC249" s="514"/>
      <c r="AD249" s="514"/>
      <c r="AE249" s="514"/>
      <c r="AF249" s="514"/>
      <c r="AG249" s="514"/>
      <c r="AH249" s="514"/>
      <c r="AI249" s="514"/>
      <c r="AJ249" s="514"/>
      <c r="AK249" s="514"/>
      <c r="AL249" s="514"/>
      <c r="AM249" s="514"/>
      <c r="AN249" s="514"/>
      <c r="AO249" s="514"/>
      <c r="AP249" s="514"/>
      <c r="AQ249" s="514"/>
      <c r="AR249" s="514"/>
      <c r="AS249" s="514"/>
      <c r="AT249" s="515"/>
      <c r="AU249" s="523"/>
      <c r="AV249" s="516"/>
      <c r="AW249" s="515"/>
      <c r="AX249" s="28"/>
      <c r="AY249" s="10"/>
    </row>
    <row r="250" spans="1:51" ht="14.25">
      <c r="A250" s="40"/>
      <c r="B250" s="12"/>
      <c r="C250" s="12" t="s">
        <v>1693</v>
      </c>
      <c r="D250" s="455"/>
      <c r="E250" s="455"/>
      <c r="F250" s="455" t="s">
        <v>1726</v>
      </c>
      <c r="G250" s="41" t="s">
        <v>1724</v>
      </c>
      <c r="H250" s="646"/>
      <c r="I250" s="482"/>
      <c r="J250" s="456" t="s">
        <v>1766</v>
      </c>
      <c r="K250" s="457"/>
      <c r="L250" s="103"/>
      <c r="M250" s="458"/>
      <c r="N250" s="81"/>
      <c r="O250" s="483"/>
      <c r="P250" s="484"/>
      <c r="Q250" s="484"/>
      <c r="R250" s="484"/>
      <c r="S250" s="485"/>
      <c r="T250" s="486"/>
      <c r="U250" s="487"/>
      <c r="V250" s="487"/>
      <c r="W250" s="487"/>
      <c r="X250" s="514"/>
      <c r="Y250" s="514"/>
      <c r="Z250" s="514"/>
      <c r="AA250" s="514"/>
      <c r="AB250" s="514"/>
      <c r="AC250" s="514"/>
      <c r="AD250" s="514"/>
      <c r="AE250" s="514"/>
      <c r="AF250" s="514"/>
      <c r="AG250" s="514"/>
      <c r="AH250" s="514"/>
      <c r="AI250" s="514"/>
      <c r="AJ250" s="514"/>
      <c r="AK250" s="514"/>
      <c r="AL250" s="487"/>
      <c r="AM250" s="514"/>
      <c r="AN250" s="514"/>
      <c r="AO250" s="514"/>
      <c r="AP250" s="514"/>
      <c r="AQ250" s="487"/>
      <c r="AR250" s="514"/>
      <c r="AS250" s="514"/>
      <c r="AT250" s="488"/>
      <c r="AU250" s="523"/>
      <c r="AV250" s="516"/>
      <c r="AW250" s="488"/>
      <c r="AX250" s="28"/>
      <c r="AY250" s="10"/>
    </row>
    <row r="251" spans="1:51" ht="14.25">
      <c r="A251" s="40"/>
      <c r="B251" s="12"/>
      <c r="C251" s="12" t="s">
        <v>1738</v>
      </c>
      <c r="D251" s="455" t="s">
        <v>1739</v>
      </c>
      <c r="E251" s="455"/>
      <c r="F251" s="455" t="s">
        <v>1767</v>
      </c>
      <c r="G251" s="41" t="s">
        <v>1760</v>
      </c>
      <c r="H251" s="646"/>
      <c r="I251" s="482"/>
      <c r="J251" s="456" t="s">
        <v>1768</v>
      </c>
      <c r="K251" s="457"/>
      <c r="L251" s="103"/>
      <c r="M251" s="458"/>
      <c r="N251" s="81"/>
      <c r="O251" s="483"/>
      <c r="P251" s="484"/>
      <c r="Q251" s="484"/>
      <c r="R251" s="484"/>
      <c r="S251" s="485"/>
      <c r="T251" s="486"/>
      <c r="U251" s="514"/>
      <c r="V251" s="514"/>
      <c r="W251" s="514"/>
      <c r="X251" s="514"/>
      <c r="Y251" s="514"/>
      <c r="Z251" s="514"/>
      <c r="AA251" s="514"/>
      <c r="AB251" s="514"/>
      <c r="AC251" s="514"/>
      <c r="AD251" s="514"/>
      <c r="AE251" s="514"/>
      <c r="AF251" s="514"/>
      <c r="AG251" s="514"/>
      <c r="AH251" s="514"/>
      <c r="AI251" s="514"/>
      <c r="AJ251" s="514"/>
      <c r="AK251" s="514"/>
      <c r="AL251" s="514"/>
      <c r="AM251" s="514"/>
      <c r="AN251" s="514"/>
      <c r="AO251" s="514"/>
      <c r="AP251" s="514"/>
      <c r="AQ251" s="514"/>
      <c r="AR251" s="514"/>
      <c r="AS251" s="514"/>
      <c r="AT251" s="515"/>
      <c r="AU251" s="523"/>
      <c r="AV251" s="516"/>
      <c r="AW251" s="515"/>
      <c r="AX251" s="28"/>
      <c r="AY251" s="10"/>
    </row>
    <row r="252" spans="1:51" ht="14.25">
      <c r="A252" s="40"/>
      <c r="B252" s="12"/>
      <c r="C252" s="12" t="s">
        <v>1738</v>
      </c>
      <c r="D252" s="455" t="s">
        <v>1739</v>
      </c>
      <c r="E252" s="455"/>
      <c r="F252" s="455" t="s">
        <v>1767</v>
      </c>
      <c r="G252" s="41" t="s">
        <v>1722</v>
      </c>
      <c r="H252" s="646"/>
      <c r="I252" s="482"/>
      <c r="J252" s="456" t="s">
        <v>1769</v>
      </c>
      <c r="K252" s="457"/>
      <c r="L252" s="103"/>
      <c r="M252" s="458"/>
      <c r="N252" s="81"/>
      <c r="O252" s="483"/>
      <c r="P252" s="484"/>
      <c r="Q252" s="484"/>
      <c r="R252" s="484"/>
      <c r="S252" s="485"/>
      <c r="T252" s="486"/>
      <c r="U252" s="514"/>
      <c r="V252" s="514"/>
      <c r="W252" s="514"/>
      <c r="X252" s="514"/>
      <c r="Y252" s="514"/>
      <c r="Z252" s="514"/>
      <c r="AA252" s="514"/>
      <c r="AB252" s="514"/>
      <c r="AC252" s="514"/>
      <c r="AD252" s="514"/>
      <c r="AE252" s="514"/>
      <c r="AF252" s="514"/>
      <c r="AG252" s="514"/>
      <c r="AH252" s="514"/>
      <c r="AI252" s="514"/>
      <c r="AJ252" s="514"/>
      <c r="AK252" s="514"/>
      <c r="AL252" s="514"/>
      <c r="AM252" s="514"/>
      <c r="AN252" s="514"/>
      <c r="AO252" s="514"/>
      <c r="AP252" s="514"/>
      <c r="AQ252" s="514"/>
      <c r="AR252" s="514"/>
      <c r="AS252" s="514"/>
      <c r="AT252" s="515"/>
      <c r="AU252" s="523"/>
      <c r="AV252" s="516"/>
      <c r="AW252" s="515"/>
      <c r="AX252" s="28"/>
      <c r="AY252" s="10"/>
    </row>
    <row r="253" spans="1:51" ht="14.25">
      <c r="A253" s="40"/>
      <c r="B253" s="12"/>
      <c r="C253" s="12" t="s">
        <v>1738</v>
      </c>
      <c r="D253" s="455" t="s">
        <v>1739</v>
      </c>
      <c r="E253" s="455"/>
      <c r="F253" s="455" t="s">
        <v>1767</v>
      </c>
      <c r="G253" s="41" t="s">
        <v>1724</v>
      </c>
      <c r="H253" s="646"/>
      <c r="I253" s="482"/>
      <c r="J253" s="456" t="s">
        <v>1770</v>
      </c>
      <c r="K253" s="457"/>
      <c r="L253" s="103"/>
      <c r="M253" s="458"/>
      <c r="N253" s="81"/>
      <c r="O253" s="483"/>
      <c r="P253" s="484"/>
      <c r="Q253" s="484"/>
      <c r="R253" s="484"/>
      <c r="S253" s="485"/>
      <c r="T253" s="486"/>
      <c r="U253" s="487"/>
      <c r="V253" s="487"/>
      <c r="W253" s="514"/>
      <c r="X253" s="514"/>
      <c r="Y253" s="514"/>
      <c r="Z253" s="514"/>
      <c r="AA253" s="514"/>
      <c r="AB253" s="514"/>
      <c r="AC253" s="514"/>
      <c r="AD253" s="514"/>
      <c r="AE253" s="514"/>
      <c r="AF253" s="514"/>
      <c r="AG253" s="514"/>
      <c r="AH253" s="514"/>
      <c r="AI253" s="514"/>
      <c r="AJ253" s="514"/>
      <c r="AK253" s="514"/>
      <c r="AL253" s="487"/>
      <c r="AM253" s="514"/>
      <c r="AN253" s="514"/>
      <c r="AO253" s="514"/>
      <c r="AP253" s="514"/>
      <c r="AQ253" s="487"/>
      <c r="AR253" s="514"/>
      <c r="AS253" s="514"/>
      <c r="AT253" s="488"/>
      <c r="AU253" s="523"/>
      <c r="AV253" s="516"/>
      <c r="AW253" s="488"/>
      <c r="AX253" s="28"/>
      <c r="AY253" s="10"/>
    </row>
    <row r="254" spans="1:51" ht="12.75" customHeight="1">
      <c r="A254" s="40"/>
      <c r="B254" s="12"/>
      <c r="C254" s="12" t="s">
        <v>1771</v>
      </c>
      <c r="D254" s="455" t="s">
        <v>1772</v>
      </c>
      <c r="E254" s="455"/>
      <c r="F254" s="455" t="s">
        <v>1721</v>
      </c>
      <c r="G254" s="41" t="s">
        <v>1722</v>
      </c>
      <c r="H254" s="646"/>
      <c r="I254" s="482"/>
      <c r="J254" s="456" t="s">
        <v>1773</v>
      </c>
      <c r="K254" s="457"/>
      <c r="L254" s="103"/>
      <c r="M254" s="458"/>
      <c r="N254" s="81"/>
      <c r="O254" s="483"/>
      <c r="P254" s="484"/>
      <c r="Q254" s="484"/>
      <c r="R254" s="484"/>
      <c r="S254" s="485"/>
      <c r="T254" s="486"/>
      <c r="U254" s="514"/>
      <c r="V254" s="514"/>
      <c r="W254" s="514"/>
      <c r="X254" s="514"/>
      <c r="Y254" s="514"/>
      <c r="Z254" s="514"/>
      <c r="AA254" s="514"/>
      <c r="AB254" s="514"/>
      <c r="AC254" s="514"/>
      <c r="AD254" s="514"/>
      <c r="AE254" s="514"/>
      <c r="AF254" s="514"/>
      <c r="AG254" s="514"/>
      <c r="AH254" s="514"/>
      <c r="AI254" s="514"/>
      <c r="AJ254" s="514"/>
      <c r="AK254" s="514"/>
      <c r="AL254" s="514"/>
      <c r="AM254" s="514"/>
      <c r="AN254" s="514"/>
      <c r="AO254" s="514"/>
      <c r="AP254" s="514"/>
      <c r="AQ254" s="514"/>
      <c r="AR254" s="514"/>
      <c r="AS254" s="514"/>
      <c r="AT254" s="515"/>
      <c r="AU254" s="523"/>
      <c r="AV254" s="516"/>
      <c r="AW254" s="515"/>
      <c r="AX254" s="28"/>
      <c r="AY254" s="10"/>
    </row>
    <row r="255" spans="1:51" ht="12.75" customHeight="1">
      <c r="A255" s="40"/>
      <c r="B255" s="12"/>
      <c r="C255" s="12" t="s">
        <v>1771</v>
      </c>
      <c r="D255" s="455" t="s">
        <v>1772</v>
      </c>
      <c r="E255" s="455"/>
      <c r="F255" s="455" t="s">
        <v>1721</v>
      </c>
      <c r="G255" s="41" t="s">
        <v>1724</v>
      </c>
      <c r="H255" s="646"/>
      <c r="I255" s="489"/>
      <c r="J255" s="462" t="s">
        <v>1774</v>
      </c>
      <c r="K255" s="463"/>
      <c r="L255" s="103"/>
      <c r="M255" s="458"/>
      <c r="N255" s="81"/>
      <c r="O255" s="498"/>
      <c r="P255" s="499"/>
      <c r="Q255" s="499"/>
      <c r="R255" s="499"/>
      <c r="S255" s="500"/>
      <c r="T255" s="486"/>
      <c r="U255" s="487"/>
      <c r="V255" s="487"/>
      <c r="W255" s="514"/>
      <c r="X255" s="514"/>
      <c r="Y255" s="514"/>
      <c r="Z255" s="514"/>
      <c r="AA255" s="514"/>
      <c r="AB255" s="514"/>
      <c r="AC255" s="514"/>
      <c r="AD255" s="514"/>
      <c r="AE255" s="514"/>
      <c r="AF255" s="514"/>
      <c r="AG255" s="514"/>
      <c r="AH255" s="514"/>
      <c r="AI255" s="514"/>
      <c r="AJ255" s="514"/>
      <c r="AK255" s="514"/>
      <c r="AL255" s="487"/>
      <c r="AM255" s="514"/>
      <c r="AN255" s="514"/>
      <c r="AO255" s="514"/>
      <c r="AP255" s="514"/>
      <c r="AQ255" s="487"/>
      <c r="AR255" s="514"/>
      <c r="AS255" s="514"/>
      <c r="AT255" s="488"/>
      <c r="AU255" s="523"/>
      <c r="AV255" s="516"/>
      <c r="AW255" s="488"/>
      <c r="AX255" s="28"/>
      <c r="AY255" s="10"/>
    </row>
    <row r="256" spans="1:51" ht="14.25">
      <c r="A256" s="13"/>
      <c r="B256" s="13"/>
      <c r="C256" s="13"/>
      <c r="D256" s="468"/>
      <c r="E256" s="468"/>
      <c r="F256" s="468"/>
      <c r="G256" s="218"/>
      <c r="H256" s="647"/>
      <c r="I256" s="490"/>
      <c r="J256" s="469" t="s">
        <v>1775</v>
      </c>
      <c r="K256" s="525"/>
      <c r="L256" s="103"/>
      <c r="M256" s="538"/>
      <c r="N256" s="81"/>
      <c r="O256" s="526">
        <f t="shared" ref="O256:AT256" si="11">SUM(O228:O255)</f>
        <v>0</v>
      </c>
      <c r="P256" s="527">
        <f t="shared" si="11"/>
        <v>0</v>
      </c>
      <c r="Q256" s="527">
        <f t="shared" si="11"/>
        <v>0</v>
      </c>
      <c r="R256" s="527">
        <f t="shared" si="11"/>
        <v>0</v>
      </c>
      <c r="S256" s="531">
        <f t="shared" si="11"/>
        <v>0</v>
      </c>
      <c r="T256" s="504">
        <f t="shared" si="11"/>
        <v>0</v>
      </c>
      <c r="U256" s="539">
        <f t="shared" si="11"/>
        <v>0</v>
      </c>
      <c r="V256" s="539">
        <f t="shared" si="11"/>
        <v>0</v>
      </c>
      <c r="W256" s="539">
        <f t="shared" si="11"/>
        <v>0</v>
      </c>
      <c r="X256" s="539">
        <f t="shared" si="11"/>
        <v>0</v>
      </c>
      <c r="Y256" s="539">
        <f t="shared" si="11"/>
        <v>0</v>
      </c>
      <c r="Z256" s="539">
        <f t="shared" si="11"/>
        <v>0</v>
      </c>
      <c r="AA256" s="539">
        <f t="shared" si="11"/>
        <v>0</v>
      </c>
      <c r="AB256" s="539">
        <f t="shared" si="11"/>
        <v>0</v>
      </c>
      <c r="AC256" s="539">
        <f t="shared" si="11"/>
        <v>0</v>
      </c>
      <c r="AD256" s="539">
        <f t="shared" si="11"/>
        <v>0</v>
      </c>
      <c r="AE256" s="539">
        <f t="shared" si="11"/>
        <v>0</v>
      </c>
      <c r="AF256" s="539">
        <f t="shared" si="11"/>
        <v>0</v>
      </c>
      <c r="AG256" s="539">
        <f t="shared" si="11"/>
        <v>0</v>
      </c>
      <c r="AH256" s="539">
        <f t="shared" si="11"/>
        <v>0</v>
      </c>
      <c r="AI256" s="539">
        <f t="shared" si="11"/>
        <v>0</v>
      </c>
      <c r="AJ256" s="539">
        <f t="shared" si="11"/>
        <v>0</v>
      </c>
      <c r="AK256" s="539">
        <f t="shared" si="11"/>
        <v>0</v>
      </c>
      <c r="AL256" s="539">
        <f t="shared" si="11"/>
        <v>0</v>
      </c>
      <c r="AM256" s="539">
        <f t="shared" si="11"/>
        <v>0</v>
      </c>
      <c r="AN256" s="539">
        <f t="shared" si="11"/>
        <v>0</v>
      </c>
      <c r="AO256" s="539">
        <f t="shared" si="11"/>
        <v>0</v>
      </c>
      <c r="AP256" s="539">
        <f t="shared" si="11"/>
        <v>0</v>
      </c>
      <c r="AQ256" s="539">
        <f t="shared" si="11"/>
        <v>0</v>
      </c>
      <c r="AR256" s="539">
        <f t="shared" si="11"/>
        <v>0</v>
      </c>
      <c r="AS256" s="539">
        <f t="shared" si="11"/>
        <v>0</v>
      </c>
      <c r="AT256" s="540">
        <f t="shared" si="11"/>
        <v>0</v>
      </c>
      <c r="AU256" s="528"/>
      <c r="AV256" s="504">
        <f>SUM(AV228:AV255)</f>
        <v>0</v>
      </c>
      <c r="AW256" s="540">
        <f>SUM(AW228:AW255)</f>
        <v>0</v>
      </c>
      <c r="AX256" s="28"/>
      <c r="AY256" s="10"/>
    </row>
    <row r="257" spans="1:51" ht="14.25">
      <c r="A257" s="77"/>
      <c r="B257" s="77"/>
      <c r="C257" s="77"/>
      <c r="D257" s="78"/>
      <c r="E257" s="78"/>
      <c r="F257" s="78"/>
      <c r="G257" s="77"/>
      <c r="H257" s="90"/>
      <c r="I257" s="90"/>
      <c r="J257" s="533"/>
      <c r="K257" s="533"/>
      <c r="L257" s="98"/>
      <c r="M257" s="240"/>
      <c r="N257" s="10"/>
      <c r="O257" s="346"/>
      <c r="P257" s="346"/>
      <c r="Q257" s="346"/>
      <c r="R257" s="346"/>
      <c r="S257" s="346"/>
      <c r="T257" s="346"/>
      <c r="U257" s="240"/>
      <c r="V257" s="240"/>
      <c r="W257" s="240"/>
      <c r="X257" s="240"/>
      <c r="Y257" s="240"/>
      <c r="Z257" s="240"/>
      <c r="AA257" s="240"/>
      <c r="AB257" s="240"/>
      <c r="AC257" s="240"/>
      <c r="AD257" s="240"/>
      <c r="AE257" s="240"/>
      <c r="AF257" s="240"/>
      <c r="AG257" s="240"/>
      <c r="AH257" s="240"/>
      <c r="AI257" s="240"/>
      <c r="AJ257" s="240"/>
      <c r="AK257" s="240"/>
      <c r="AL257" s="240"/>
      <c r="AM257" s="240"/>
      <c r="AN257" s="240"/>
      <c r="AO257" s="240"/>
      <c r="AP257" s="240"/>
      <c r="AQ257" s="240"/>
      <c r="AR257" s="240"/>
      <c r="AS257" s="240"/>
      <c r="AT257" s="240"/>
      <c r="AU257" s="529"/>
      <c r="AV257" s="240"/>
      <c r="AW257" s="240"/>
      <c r="AX257" s="10"/>
      <c r="AY257" s="10"/>
    </row>
    <row r="258" spans="1:51" ht="12.75" customHeight="1">
      <c r="A258" s="36"/>
      <c r="B258" s="37"/>
      <c r="C258" s="37" t="s">
        <v>1771</v>
      </c>
      <c r="D258" s="446" t="s">
        <v>1776</v>
      </c>
      <c r="E258" s="446"/>
      <c r="F258" s="446" t="s">
        <v>1694</v>
      </c>
      <c r="G258" s="447" t="s">
        <v>1705</v>
      </c>
      <c r="H258" s="645" t="s">
        <v>1777</v>
      </c>
      <c r="I258" s="477"/>
      <c r="J258" s="541" t="s">
        <v>1778</v>
      </c>
      <c r="K258" s="542"/>
      <c r="L258" s="103"/>
      <c r="M258" s="450"/>
      <c r="N258" s="81"/>
      <c r="O258" s="478"/>
      <c r="P258" s="479"/>
      <c r="Q258" s="479"/>
      <c r="R258" s="479"/>
      <c r="S258" s="480"/>
      <c r="T258" s="508"/>
      <c r="U258" s="509"/>
      <c r="V258" s="509"/>
      <c r="W258" s="509"/>
      <c r="X258" s="509"/>
      <c r="Y258" s="509"/>
      <c r="Z258" s="509"/>
      <c r="AA258" s="509"/>
      <c r="AB258" s="509"/>
      <c r="AC258" s="509"/>
      <c r="AD258" s="509"/>
      <c r="AE258" s="509"/>
      <c r="AF258" s="509"/>
      <c r="AG258" s="509"/>
      <c r="AH258" s="509"/>
      <c r="AI258" s="509"/>
      <c r="AJ258" s="509"/>
      <c r="AK258" s="509"/>
      <c r="AL258" s="509"/>
      <c r="AM258" s="509"/>
      <c r="AN258" s="509"/>
      <c r="AO258" s="509"/>
      <c r="AP258" s="509"/>
      <c r="AQ258" s="509"/>
      <c r="AR258" s="509"/>
      <c r="AS258" s="509"/>
      <c r="AT258" s="510"/>
      <c r="AU258" s="523"/>
      <c r="AV258" s="511"/>
      <c r="AW258" s="510"/>
      <c r="AX258" s="28"/>
      <c r="AY258" s="10"/>
    </row>
    <row r="259" spans="1:51" ht="14.25">
      <c r="A259" s="40"/>
      <c r="B259" s="12"/>
      <c r="C259" s="12" t="s">
        <v>1771</v>
      </c>
      <c r="D259" s="455" t="s">
        <v>1776</v>
      </c>
      <c r="E259" s="455"/>
      <c r="F259" s="455" t="s">
        <v>1694</v>
      </c>
      <c r="G259" s="41" t="s">
        <v>638</v>
      </c>
      <c r="H259" s="646"/>
      <c r="I259" s="482"/>
      <c r="J259" s="543" t="s">
        <v>1779</v>
      </c>
      <c r="K259" s="544"/>
      <c r="L259" s="103"/>
      <c r="M259" s="458"/>
      <c r="N259" s="81"/>
      <c r="O259" s="483"/>
      <c r="P259" s="484"/>
      <c r="Q259" s="484"/>
      <c r="R259" s="484"/>
      <c r="S259" s="485"/>
      <c r="T259" s="486"/>
      <c r="U259" s="514"/>
      <c r="V259" s="514"/>
      <c r="W259" s="514"/>
      <c r="X259" s="514"/>
      <c r="Y259" s="514"/>
      <c r="Z259" s="514"/>
      <c r="AA259" s="514"/>
      <c r="AB259" s="514"/>
      <c r="AC259" s="514"/>
      <c r="AD259" s="514"/>
      <c r="AE259" s="514"/>
      <c r="AF259" s="514"/>
      <c r="AG259" s="514"/>
      <c r="AH259" s="514"/>
      <c r="AI259" s="514"/>
      <c r="AJ259" s="514"/>
      <c r="AK259" s="514"/>
      <c r="AL259" s="514"/>
      <c r="AM259" s="514"/>
      <c r="AN259" s="514"/>
      <c r="AO259" s="514"/>
      <c r="AP259" s="514"/>
      <c r="AQ259" s="514"/>
      <c r="AR259" s="514"/>
      <c r="AS259" s="514"/>
      <c r="AT259" s="515"/>
      <c r="AU259" s="523"/>
      <c r="AV259" s="516"/>
      <c r="AW259" s="515"/>
      <c r="AX259" s="28"/>
      <c r="AY259" s="10"/>
    </row>
    <row r="260" spans="1:51" ht="14.25">
      <c r="A260" s="40"/>
      <c r="B260" s="12"/>
      <c r="C260" s="12" t="s">
        <v>1771</v>
      </c>
      <c r="D260" s="455" t="s">
        <v>1776</v>
      </c>
      <c r="E260" s="455"/>
      <c r="F260" s="455" t="s">
        <v>1694</v>
      </c>
      <c r="G260" s="41" t="s">
        <v>640</v>
      </c>
      <c r="H260" s="646"/>
      <c r="I260" s="482"/>
      <c r="J260" s="543" t="s">
        <v>1780</v>
      </c>
      <c r="K260" s="544"/>
      <c r="L260" s="103"/>
      <c r="M260" s="458"/>
      <c r="N260" s="81"/>
      <c r="O260" s="483"/>
      <c r="P260" s="484"/>
      <c r="Q260" s="484"/>
      <c r="R260" s="484"/>
      <c r="S260" s="485"/>
      <c r="T260" s="486"/>
      <c r="U260" s="514"/>
      <c r="V260" s="514"/>
      <c r="W260" s="514"/>
      <c r="X260" s="514"/>
      <c r="Y260" s="514"/>
      <c r="Z260" s="514"/>
      <c r="AA260" s="514"/>
      <c r="AB260" s="514"/>
      <c r="AC260" s="514"/>
      <c r="AD260" s="514"/>
      <c r="AE260" s="514"/>
      <c r="AF260" s="514"/>
      <c r="AG260" s="514"/>
      <c r="AH260" s="514"/>
      <c r="AI260" s="514"/>
      <c r="AJ260" s="514"/>
      <c r="AK260" s="514"/>
      <c r="AL260" s="514"/>
      <c r="AM260" s="514"/>
      <c r="AN260" s="514"/>
      <c r="AO260" s="514"/>
      <c r="AP260" s="514"/>
      <c r="AQ260" s="514"/>
      <c r="AR260" s="514"/>
      <c r="AS260" s="514"/>
      <c r="AT260" s="515"/>
      <c r="AU260" s="523"/>
      <c r="AV260" s="516"/>
      <c r="AW260" s="515"/>
      <c r="AX260" s="28"/>
      <c r="AY260" s="10"/>
    </row>
    <row r="261" spans="1:51" ht="14.25">
      <c r="A261" s="40"/>
      <c r="B261" s="12"/>
      <c r="C261" s="12" t="s">
        <v>1771</v>
      </c>
      <c r="D261" s="455" t="s">
        <v>1776</v>
      </c>
      <c r="E261" s="455"/>
      <c r="F261" s="455" t="s">
        <v>1694</v>
      </c>
      <c r="G261" s="41" t="s">
        <v>1702</v>
      </c>
      <c r="H261" s="646"/>
      <c r="I261" s="482"/>
      <c r="J261" s="543" t="s">
        <v>1781</v>
      </c>
      <c r="K261" s="544"/>
      <c r="L261" s="103"/>
      <c r="M261" s="458"/>
      <c r="N261" s="81"/>
      <c r="O261" s="483"/>
      <c r="P261" s="484"/>
      <c r="Q261" s="484"/>
      <c r="R261" s="484"/>
      <c r="S261" s="485"/>
      <c r="T261" s="486"/>
      <c r="U261" s="514"/>
      <c r="V261" s="514"/>
      <c r="W261" s="514"/>
      <c r="X261" s="514"/>
      <c r="Y261" s="514"/>
      <c r="Z261" s="514"/>
      <c r="AA261" s="514"/>
      <c r="AB261" s="514"/>
      <c r="AC261" s="514"/>
      <c r="AD261" s="514"/>
      <c r="AE261" s="514"/>
      <c r="AF261" s="514"/>
      <c r="AG261" s="514"/>
      <c r="AH261" s="514"/>
      <c r="AI261" s="514"/>
      <c r="AJ261" s="514"/>
      <c r="AK261" s="514"/>
      <c r="AL261" s="514"/>
      <c r="AM261" s="514"/>
      <c r="AN261" s="514"/>
      <c r="AO261" s="514"/>
      <c r="AP261" s="514"/>
      <c r="AQ261" s="514"/>
      <c r="AR261" s="514"/>
      <c r="AS261" s="514"/>
      <c r="AT261" s="515"/>
      <c r="AU261" s="523"/>
      <c r="AV261" s="516"/>
      <c r="AW261" s="515"/>
      <c r="AX261" s="28"/>
      <c r="AY261" s="10"/>
    </row>
    <row r="262" spans="1:51" ht="14.25">
      <c r="A262" s="40"/>
      <c r="B262" s="12"/>
      <c r="C262" s="12" t="s">
        <v>1771</v>
      </c>
      <c r="D262" s="455" t="s">
        <v>1776</v>
      </c>
      <c r="E262" s="455"/>
      <c r="F262" s="455" t="s">
        <v>1721</v>
      </c>
      <c r="G262" s="41" t="s">
        <v>476</v>
      </c>
      <c r="H262" s="646"/>
      <c r="I262" s="482"/>
      <c r="J262" s="543" t="s">
        <v>1782</v>
      </c>
      <c r="K262" s="544"/>
      <c r="L262" s="103"/>
      <c r="M262" s="458"/>
      <c r="N262" s="81"/>
      <c r="O262" s="483"/>
      <c r="P262" s="484"/>
      <c r="Q262" s="484"/>
      <c r="R262" s="484"/>
      <c r="S262" s="485"/>
      <c r="T262" s="486"/>
      <c r="U262" s="514"/>
      <c r="V262" s="514"/>
      <c r="W262" s="514"/>
      <c r="X262" s="514"/>
      <c r="Y262" s="514"/>
      <c r="Z262" s="514"/>
      <c r="AA262" s="514"/>
      <c r="AB262" s="514"/>
      <c r="AC262" s="514"/>
      <c r="AD262" s="514"/>
      <c r="AE262" s="514"/>
      <c r="AF262" s="514"/>
      <c r="AG262" s="514"/>
      <c r="AH262" s="514"/>
      <c r="AI262" s="514"/>
      <c r="AJ262" s="514"/>
      <c r="AK262" s="514"/>
      <c r="AL262" s="514"/>
      <c r="AM262" s="514"/>
      <c r="AN262" s="514"/>
      <c r="AO262" s="514"/>
      <c r="AP262" s="514"/>
      <c r="AQ262" s="514"/>
      <c r="AR262" s="514"/>
      <c r="AS262" s="514"/>
      <c r="AT262" s="515"/>
      <c r="AU262" s="523"/>
      <c r="AV262" s="516"/>
      <c r="AW262" s="515"/>
      <c r="AX262" s="28"/>
      <c r="AY262" s="10"/>
    </row>
    <row r="263" spans="1:51" ht="14.25">
      <c r="A263" s="40"/>
      <c r="B263" s="12"/>
      <c r="C263" s="12" t="s">
        <v>1771</v>
      </c>
      <c r="D263" s="455" t="s">
        <v>1776</v>
      </c>
      <c r="E263" s="455"/>
      <c r="F263" s="455" t="s">
        <v>1721</v>
      </c>
      <c r="G263" s="41" t="s">
        <v>1724</v>
      </c>
      <c r="H263" s="646"/>
      <c r="I263" s="482"/>
      <c r="J263" s="543" t="s">
        <v>1783</v>
      </c>
      <c r="K263" s="544"/>
      <c r="L263" s="103"/>
      <c r="M263" s="458"/>
      <c r="N263" s="81"/>
      <c r="O263" s="483"/>
      <c r="P263" s="484"/>
      <c r="Q263" s="484"/>
      <c r="R263" s="484"/>
      <c r="S263" s="485"/>
      <c r="T263" s="486"/>
      <c r="U263" s="487"/>
      <c r="V263" s="487"/>
      <c r="W263" s="514"/>
      <c r="X263" s="514"/>
      <c r="Y263" s="514"/>
      <c r="Z263" s="514"/>
      <c r="AA263" s="514"/>
      <c r="AB263" s="514"/>
      <c r="AC263" s="514"/>
      <c r="AD263" s="514"/>
      <c r="AE263" s="514"/>
      <c r="AF263" s="514"/>
      <c r="AG263" s="514"/>
      <c r="AH263" s="514"/>
      <c r="AI263" s="514"/>
      <c r="AJ263" s="514"/>
      <c r="AK263" s="514"/>
      <c r="AL263" s="514"/>
      <c r="AM263" s="514"/>
      <c r="AN263" s="514"/>
      <c r="AO263" s="514"/>
      <c r="AP263" s="514"/>
      <c r="AQ263" s="514"/>
      <c r="AR263" s="514"/>
      <c r="AS263" s="514"/>
      <c r="AT263" s="488"/>
      <c r="AU263" s="523"/>
      <c r="AV263" s="516"/>
      <c r="AW263" s="488"/>
      <c r="AX263" s="28"/>
      <c r="AY263" s="10"/>
    </row>
    <row r="264" spans="1:51" ht="14.25">
      <c r="A264" s="40"/>
      <c r="B264" s="12"/>
      <c r="C264" s="12" t="s">
        <v>1771</v>
      </c>
      <c r="D264" s="455" t="s">
        <v>1784</v>
      </c>
      <c r="E264" s="455"/>
      <c r="F264" s="455" t="s">
        <v>1694</v>
      </c>
      <c r="G264" s="41" t="s">
        <v>1705</v>
      </c>
      <c r="H264" s="646"/>
      <c r="I264" s="482"/>
      <c r="J264" s="543" t="s">
        <v>1785</v>
      </c>
      <c r="K264" s="544"/>
      <c r="L264" s="103"/>
      <c r="M264" s="458"/>
      <c r="N264" s="81"/>
      <c r="O264" s="483"/>
      <c r="P264" s="484"/>
      <c r="Q264" s="484"/>
      <c r="R264" s="484"/>
      <c r="S264" s="485"/>
      <c r="T264" s="486"/>
      <c r="U264" s="514"/>
      <c r="V264" s="514"/>
      <c r="W264" s="514"/>
      <c r="X264" s="514"/>
      <c r="Y264" s="514"/>
      <c r="Z264" s="514"/>
      <c r="AA264" s="514"/>
      <c r="AB264" s="514"/>
      <c r="AC264" s="514"/>
      <c r="AD264" s="514"/>
      <c r="AE264" s="514"/>
      <c r="AF264" s="514"/>
      <c r="AG264" s="514"/>
      <c r="AH264" s="514"/>
      <c r="AI264" s="514"/>
      <c r="AJ264" s="514"/>
      <c r="AK264" s="514"/>
      <c r="AL264" s="514"/>
      <c r="AM264" s="514"/>
      <c r="AN264" s="514"/>
      <c r="AO264" s="514"/>
      <c r="AP264" s="514"/>
      <c r="AQ264" s="514"/>
      <c r="AR264" s="514"/>
      <c r="AS264" s="514"/>
      <c r="AT264" s="515"/>
      <c r="AU264" s="523"/>
      <c r="AV264" s="516"/>
      <c r="AW264" s="515"/>
      <c r="AX264" s="28"/>
      <c r="AY264" s="10"/>
    </row>
    <row r="265" spans="1:51" ht="14.25">
      <c r="A265" s="40"/>
      <c r="B265" s="12"/>
      <c r="C265" s="12" t="s">
        <v>1771</v>
      </c>
      <c r="D265" s="455" t="s">
        <v>1784</v>
      </c>
      <c r="E265" s="455"/>
      <c r="F265" s="455" t="s">
        <v>1694</v>
      </c>
      <c r="G265" s="41" t="s">
        <v>638</v>
      </c>
      <c r="H265" s="646"/>
      <c r="I265" s="482"/>
      <c r="J265" s="543" t="s">
        <v>1786</v>
      </c>
      <c r="K265" s="544"/>
      <c r="L265" s="103"/>
      <c r="M265" s="458"/>
      <c r="N265" s="81"/>
      <c r="O265" s="483"/>
      <c r="P265" s="484"/>
      <c r="Q265" s="484"/>
      <c r="R265" s="484"/>
      <c r="S265" s="485"/>
      <c r="T265" s="486"/>
      <c r="U265" s="514"/>
      <c r="V265" s="514"/>
      <c r="W265" s="514"/>
      <c r="X265" s="514"/>
      <c r="Y265" s="514"/>
      <c r="Z265" s="514"/>
      <c r="AA265" s="514"/>
      <c r="AB265" s="514"/>
      <c r="AC265" s="514"/>
      <c r="AD265" s="514"/>
      <c r="AE265" s="514"/>
      <c r="AF265" s="514"/>
      <c r="AG265" s="514"/>
      <c r="AH265" s="514"/>
      <c r="AI265" s="514"/>
      <c r="AJ265" s="514"/>
      <c r="AK265" s="514"/>
      <c r="AL265" s="514"/>
      <c r="AM265" s="514"/>
      <c r="AN265" s="514"/>
      <c r="AO265" s="514"/>
      <c r="AP265" s="514"/>
      <c r="AQ265" s="514"/>
      <c r="AR265" s="514"/>
      <c r="AS265" s="514"/>
      <c r="AT265" s="515"/>
      <c r="AU265" s="523"/>
      <c r="AV265" s="516"/>
      <c r="AW265" s="515"/>
      <c r="AX265" s="28"/>
      <c r="AY265" s="10"/>
    </row>
    <row r="266" spans="1:51" ht="14.25">
      <c r="A266" s="40"/>
      <c r="B266" s="12"/>
      <c r="C266" s="12" t="s">
        <v>1771</v>
      </c>
      <c r="D266" s="455" t="s">
        <v>1784</v>
      </c>
      <c r="E266" s="455"/>
      <c r="F266" s="455" t="s">
        <v>1694</v>
      </c>
      <c r="G266" s="41" t="s">
        <v>640</v>
      </c>
      <c r="H266" s="646"/>
      <c r="I266" s="482"/>
      <c r="J266" s="543" t="s">
        <v>1787</v>
      </c>
      <c r="K266" s="544"/>
      <c r="L266" s="103"/>
      <c r="M266" s="458"/>
      <c r="N266" s="81"/>
      <c r="O266" s="483"/>
      <c r="P266" s="484"/>
      <c r="Q266" s="484"/>
      <c r="R266" s="484"/>
      <c r="S266" s="485"/>
      <c r="T266" s="486"/>
      <c r="U266" s="514"/>
      <c r="V266" s="514"/>
      <c r="W266" s="514"/>
      <c r="X266" s="514"/>
      <c r="Y266" s="514"/>
      <c r="Z266" s="514"/>
      <c r="AA266" s="514"/>
      <c r="AB266" s="514"/>
      <c r="AC266" s="514"/>
      <c r="AD266" s="514"/>
      <c r="AE266" s="514"/>
      <c r="AF266" s="514"/>
      <c r="AG266" s="514"/>
      <c r="AH266" s="514"/>
      <c r="AI266" s="514"/>
      <c r="AJ266" s="514"/>
      <c r="AK266" s="514"/>
      <c r="AL266" s="514"/>
      <c r="AM266" s="514"/>
      <c r="AN266" s="514"/>
      <c r="AO266" s="514"/>
      <c r="AP266" s="514"/>
      <c r="AQ266" s="514"/>
      <c r="AR266" s="514"/>
      <c r="AS266" s="514"/>
      <c r="AT266" s="515"/>
      <c r="AU266" s="523"/>
      <c r="AV266" s="516"/>
      <c r="AW266" s="515"/>
      <c r="AX266" s="28"/>
      <c r="AY266" s="10"/>
    </row>
    <row r="267" spans="1:51" ht="14.25">
      <c r="A267" s="40"/>
      <c r="B267" s="12"/>
      <c r="C267" s="12" t="s">
        <v>1771</v>
      </c>
      <c r="D267" s="455" t="s">
        <v>1784</v>
      </c>
      <c r="E267" s="455"/>
      <c r="F267" s="455" t="s">
        <v>1694</v>
      </c>
      <c r="G267" s="41" t="s">
        <v>1702</v>
      </c>
      <c r="H267" s="646"/>
      <c r="I267" s="482"/>
      <c r="J267" s="543" t="s">
        <v>1788</v>
      </c>
      <c r="K267" s="544"/>
      <c r="L267" s="103"/>
      <c r="M267" s="458"/>
      <c r="N267" s="81"/>
      <c r="O267" s="483"/>
      <c r="P267" s="484"/>
      <c r="Q267" s="484"/>
      <c r="R267" s="484"/>
      <c r="S267" s="485"/>
      <c r="T267" s="486"/>
      <c r="U267" s="514"/>
      <c r="V267" s="514"/>
      <c r="W267" s="514"/>
      <c r="X267" s="514"/>
      <c r="Y267" s="514"/>
      <c r="Z267" s="514"/>
      <c r="AA267" s="514"/>
      <c r="AB267" s="514"/>
      <c r="AC267" s="514"/>
      <c r="AD267" s="514"/>
      <c r="AE267" s="514"/>
      <c r="AF267" s="514"/>
      <c r="AG267" s="514"/>
      <c r="AH267" s="514"/>
      <c r="AI267" s="514"/>
      <c r="AJ267" s="514"/>
      <c r="AK267" s="514"/>
      <c r="AL267" s="514"/>
      <c r="AM267" s="514"/>
      <c r="AN267" s="514"/>
      <c r="AO267" s="514"/>
      <c r="AP267" s="514"/>
      <c r="AQ267" s="514"/>
      <c r="AR267" s="514"/>
      <c r="AS267" s="514"/>
      <c r="AT267" s="515"/>
      <c r="AU267" s="523"/>
      <c r="AV267" s="516"/>
      <c r="AW267" s="515"/>
      <c r="AX267" s="28"/>
      <c r="AY267" s="10"/>
    </row>
    <row r="268" spans="1:51" ht="14.25">
      <c r="A268" s="40"/>
      <c r="B268" s="12"/>
      <c r="C268" s="12" t="s">
        <v>1771</v>
      </c>
      <c r="D268" s="455" t="s">
        <v>1784</v>
      </c>
      <c r="E268" s="455"/>
      <c r="F268" s="455" t="s">
        <v>1721</v>
      </c>
      <c r="G268" s="41" t="s">
        <v>476</v>
      </c>
      <c r="H268" s="646"/>
      <c r="I268" s="482"/>
      <c r="J268" s="543" t="s">
        <v>1789</v>
      </c>
      <c r="K268" s="544"/>
      <c r="L268" s="103"/>
      <c r="M268" s="458"/>
      <c r="N268" s="81"/>
      <c r="O268" s="483"/>
      <c r="P268" s="484"/>
      <c r="Q268" s="484"/>
      <c r="R268" s="484"/>
      <c r="S268" s="485"/>
      <c r="T268" s="486"/>
      <c r="U268" s="514"/>
      <c r="V268" s="514"/>
      <c r="W268" s="514"/>
      <c r="X268" s="514"/>
      <c r="Y268" s="514"/>
      <c r="Z268" s="514"/>
      <c r="AA268" s="514"/>
      <c r="AB268" s="514"/>
      <c r="AC268" s="514"/>
      <c r="AD268" s="514"/>
      <c r="AE268" s="514"/>
      <c r="AF268" s="514"/>
      <c r="AG268" s="514"/>
      <c r="AH268" s="514"/>
      <c r="AI268" s="514"/>
      <c r="AJ268" s="514"/>
      <c r="AK268" s="514"/>
      <c r="AL268" s="514"/>
      <c r="AM268" s="514"/>
      <c r="AN268" s="514"/>
      <c r="AO268" s="514"/>
      <c r="AP268" s="514"/>
      <c r="AQ268" s="514"/>
      <c r="AR268" s="514"/>
      <c r="AS268" s="514"/>
      <c r="AT268" s="515"/>
      <c r="AU268" s="523"/>
      <c r="AV268" s="516"/>
      <c r="AW268" s="515"/>
      <c r="AX268" s="28"/>
      <c r="AY268" s="10"/>
    </row>
    <row r="269" spans="1:51" ht="14.25">
      <c r="A269" s="40"/>
      <c r="B269" s="12"/>
      <c r="C269" s="12" t="s">
        <v>1771</v>
      </c>
      <c r="D269" s="455" t="s">
        <v>1784</v>
      </c>
      <c r="E269" s="455"/>
      <c r="F269" s="455" t="s">
        <v>1721</v>
      </c>
      <c r="G269" s="41" t="s">
        <v>1724</v>
      </c>
      <c r="H269" s="646"/>
      <c r="I269" s="482"/>
      <c r="J269" s="543" t="s">
        <v>1790</v>
      </c>
      <c r="K269" s="544"/>
      <c r="L269" s="103"/>
      <c r="M269" s="458"/>
      <c r="N269" s="81"/>
      <c r="O269" s="483"/>
      <c r="P269" s="484"/>
      <c r="Q269" s="484"/>
      <c r="R269" s="484"/>
      <c r="S269" s="485"/>
      <c r="T269" s="486"/>
      <c r="U269" s="487"/>
      <c r="V269" s="487"/>
      <c r="W269" s="514"/>
      <c r="X269" s="514"/>
      <c r="Y269" s="514"/>
      <c r="Z269" s="514"/>
      <c r="AA269" s="514"/>
      <c r="AB269" s="514"/>
      <c r="AC269" s="514"/>
      <c r="AD269" s="514"/>
      <c r="AE269" s="514"/>
      <c r="AF269" s="514"/>
      <c r="AG269" s="514"/>
      <c r="AH269" s="514"/>
      <c r="AI269" s="514"/>
      <c r="AJ269" s="514"/>
      <c r="AK269" s="514"/>
      <c r="AL269" s="514"/>
      <c r="AM269" s="514"/>
      <c r="AN269" s="514"/>
      <c r="AO269" s="514"/>
      <c r="AP269" s="514"/>
      <c r="AQ269" s="514"/>
      <c r="AR269" s="514"/>
      <c r="AS269" s="514"/>
      <c r="AT269" s="488"/>
      <c r="AU269" s="523"/>
      <c r="AV269" s="516"/>
      <c r="AW269" s="488"/>
      <c r="AX269" s="28"/>
      <c r="AY269" s="10"/>
    </row>
    <row r="270" spans="1:51" ht="14.25">
      <c r="A270" s="40"/>
      <c r="B270" s="12"/>
      <c r="C270" s="12" t="s">
        <v>1771</v>
      </c>
      <c r="D270" s="455" t="s">
        <v>1791</v>
      </c>
      <c r="E270" s="455"/>
      <c r="F270" s="455" t="s">
        <v>1694</v>
      </c>
      <c r="G270" s="41" t="s">
        <v>1705</v>
      </c>
      <c r="H270" s="646"/>
      <c r="I270" s="482"/>
      <c r="J270" s="543" t="s">
        <v>1792</v>
      </c>
      <c r="K270" s="544"/>
      <c r="L270" s="103"/>
      <c r="M270" s="458"/>
      <c r="N270" s="81"/>
      <c r="O270" s="483"/>
      <c r="P270" s="484"/>
      <c r="Q270" s="484"/>
      <c r="R270" s="484"/>
      <c r="S270" s="485"/>
      <c r="T270" s="486"/>
      <c r="U270" s="514"/>
      <c r="V270" s="514"/>
      <c r="W270" s="514"/>
      <c r="X270" s="514"/>
      <c r="Y270" s="514"/>
      <c r="Z270" s="514"/>
      <c r="AA270" s="514"/>
      <c r="AB270" s="514"/>
      <c r="AC270" s="514"/>
      <c r="AD270" s="514"/>
      <c r="AE270" s="514"/>
      <c r="AF270" s="514"/>
      <c r="AG270" s="514"/>
      <c r="AH270" s="514"/>
      <c r="AI270" s="514"/>
      <c r="AJ270" s="514"/>
      <c r="AK270" s="514"/>
      <c r="AL270" s="514"/>
      <c r="AM270" s="514"/>
      <c r="AN270" s="514"/>
      <c r="AO270" s="514"/>
      <c r="AP270" s="514"/>
      <c r="AQ270" s="514"/>
      <c r="AR270" s="514"/>
      <c r="AS270" s="514"/>
      <c r="AT270" s="515"/>
      <c r="AU270" s="523"/>
      <c r="AV270" s="516"/>
      <c r="AW270" s="515"/>
      <c r="AX270" s="28"/>
      <c r="AY270" s="10"/>
    </row>
    <row r="271" spans="1:51" ht="14.25">
      <c r="A271" s="40"/>
      <c r="B271" s="12"/>
      <c r="C271" s="12" t="s">
        <v>1771</v>
      </c>
      <c r="D271" s="455" t="s">
        <v>1791</v>
      </c>
      <c r="E271" s="455"/>
      <c r="F271" s="455" t="s">
        <v>1694</v>
      </c>
      <c r="G271" s="41" t="s">
        <v>638</v>
      </c>
      <c r="H271" s="646"/>
      <c r="I271" s="482"/>
      <c r="J271" s="543" t="s">
        <v>1793</v>
      </c>
      <c r="K271" s="544"/>
      <c r="L271" s="103"/>
      <c r="M271" s="458"/>
      <c r="N271" s="81"/>
      <c r="O271" s="483"/>
      <c r="P271" s="484"/>
      <c r="Q271" s="484"/>
      <c r="R271" s="484"/>
      <c r="S271" s="485"/>
      <c r="T271" s="486"/>
      <c r="U271" s="514"/>
      <c r="V271" s="514"/>
      <c r="W271" s="514"/>
      <c r="X271" s="514"/>
      <c r="Y271" s="514"/>
      <c r="Z271" s="514"/>
      <c r="AA271" s="514"/>
      <c r="AB271" s="514"/>
      <c r="AC271" s="514"/>
      <c r="AD271" s="514"/>
      <c r="AE271" s="514"/>
      <c r="AF271" s="514"/>
      <c r="AG271" s="514"/>
      <c r="AH271" s="514"/>
      <c r="AI271" s="514"/>
      <c r="AJ271" s="514"/>
      <c r="AK271" s="514"/>
      <c r="AL271" s="514"/>
      <c r="AM271" s="514"/>
      <c r="AN271" s="514"/>
      <c r="AO271" s="514"/>
      <c r="AP271" s="514"/>
      <c r="AQ271" s="514"/>
      <c r="AR271" s="514"/>
      <c r="AS271" s="514"/>
      <c r="AT271" s="515"/>
      <c r="AU271" s="523"/>
      <c r="AV271" s="516"/>
      <c r="AW271" s="515"/>
      <c r="AX271" s="28"/>
      <c r="AY271" s="10"/>
    </row>
    <row r="272" spans="1:51" ht="14.25">
      <c r="A272" s="40"/>
      <c r="B272" s="12"/>
      <c r="C272" s="12" t="s">
        <v>1771</v>
      </c>
      <c r="D272" s="455" t="s">
        <v>1791</v>
      </c>
      <c r="E272" s="455"/>
      <c r="F272" s="455" t="s">
        <v>1694</v>
      </c>
      <c r="G272" s="41" t="s">
        <v>640</v>
      </c>
      <c r="H272" s="646"/>
      <c r="I272" s="482"/>
      <c r="J272" s="543" t="s">
        <v>1794</v>
      </c>
      <c r="K272" s="544"/>
      <c r="L272" s="103"/>
      <c r="M272" s="458"/>
      <c r="N272" s="81"/>
      <c r="O272" s="483"/>
      <c r="P272" s="484"/>
      <c r="Q272" s="484"/>
      <c r="R272" s="484"/>
      <c r="S272" s="485"/>
      <c r="T272" s="486"/>
      <c r="U272" s="514"/>
      <c r="V272" s="514"/>
      <c r="W272" s="514"/>
      <c r="X272" s="514"/>
      <c r="Y272" s="514"/>
      <c r="Z272" s="514"/>
      <c r="AA272" s="514"/>
      <c r="AB272" s="514"/>
      <c r="AC272" s="514"/>
      <c r="AD272" s="514"/>
      <c r="AE272" s="514"/>
      <c r="AF272" s="514"/>
      <c r="AG272" s="514"/>
      <c r="AH272" s="514"/>
      <c r="AI272" s="514"/>
      <c r="AJ272" s="514"/>
      <c r="AK272" s="514"/>
      <c r="AL272" s="514"/>
      <c r="AM272" s="514"/>
      <c r="AN272" s="514"/>
      <c r="AO272" s="514"/>
      <c r="AP272" s="514"/>
      <c r="AQ272" s="514"/>
      <c r="AR272" s="514"/>
      <c r="AS272" s="514"/>
      <c r="AT272" s="515"/>
      <c r="AU272" s="523"/>
      <c r="AV272" s="516"/>
      <c r="AW272" s="515"/>
      <c r="AX272" s="28"/>
      <c r="AY272" s="10"/>
    </row>
    <row r="273" spans="1:51" ht="14.25">
      <c r="A273" s="40"/>
      <c r="B273" s="12"/>
      <c r="C273" s="12" t="s">
        <v>1771</v>
      </c>
      <c r="D273" s="455" t="s">
        <v>1791</v>
      </c>
      <c r="E273" s="455"/>
      <c r="F273" s="455" t="s">
        <v>1694</v>
      </c>
      <c r="G273" s="41" t="s">
        <v>1702</v>
      </c>
      <c r="H273" s="646"/>
      <c r="I273" s="482"/>
      <c r="J273" s="543" t="s">
        <v>1795</v>
      </c>
      <c r="K273" s="544"/>
      <c r="L273" s="103"/>
      <c r="M273" s="458"/>
      <c r="N273" s="81"/>
      <c r="O273" s="483"/>
      <c r="P273" s="484"/>
      <c r="Q273" s="484"/>
      <c r="R273" s="484"/>
      <c r="S273" s="485"/>
      <c r="T273" s="486"/>
      <c r="U273" s="514"/>
      <c r="V273" s="514"/>
      <c r="W273" s="514"/>
      <c r="X273" s="514"/>
      <c r="Y273" s="514"/>
      <c r="Z273" s="514"/>
      <c r="AA273" s="514"/>
      <c r="AB273" s="514"/>
      <c r="AC273" s="514"/>
      <c r="AD273" s="514"/>
      <c r="AE273" s="514"/>
      <c r="AF273" s="514"/>
      <c r="AG273" s="514"/>
      <c r="AH273" s="514"/>
      <c r="AI273" s="514"/>
      <c r="AJ273" s="514"/>
      <c r="AK273" s="514"/>
      <c r="AL273" s="514"/>
      <c r="AM273" s="514"/>
      <c r="AN273" s="514"/>
      <c r="AO273" s="514"/>
      <c r="AP273" s="514"/>
      <c r="AQ273" s="514"/>
      <c r="AR273" s="514"/>
      <c r="AS273" s="514"/>
      <c r="AT273" s="515"/>
      <c r="AU273" s="523"/>
      <c r="AV273" s="516"/>
      <c r="AW273" s="515"/>
      <c r="AX273" s="28"/>
      <c r="AY273" s="10"/>
    </row>
    <row r="274" spans="1:51" ht="14.25">
      <c r="A274" s="40"/>
      <c r="B274" s="12"/>
      <c r="C274" s="12" t="s">
        <v>1771</v>
      </c>
      <c r="D274" s="455" t="s">
        <v>1791</v>
      </c>
      <c r="E274" s="455"/>
      <c r="F274" s="455" t="s">
        <v>1721</v>
      </c>
      <c r="G274" s="41" t="s">
        <v>476</v>
      </c>
      <c r="H274" s="646"/>
      <c r="I274" s="482"/>
      <c r="J274" s="543" t="s">
        <v>1796</v>
      </c>
      <c r="K274" s="544"/>
      <c r="L274" s="103"/>
      <c r="M274" s="458"/>
      <c r="N274" s="81"/>
      <c r="O274" s="483"/>
      <c r="P274" s="484"/>
      <c r="Q274" s="484"/>
      <c r="R274" s="484"/>
      <c r="S274" s="485"/>
      <c r="T274" s="486"/>
      <c r="U274" s="514"/>
      <c r="V274" s="514"/>
      <c r="W274" s="514"/>
      <c r="X274" s="514"/>
      <c r="Y274" s="514"/>
      <c r="Z274" s="514"/>
      <c r="AA274" s="514"/>
      <c r="AB274" s="514"/>
      <c r="AC274" s="514"/>
      <c r="AD274" s="514"/>
      <c r="AE274" s="514"/>
      <c r="AF274" s="514"/>
      <c r="AG274" s="514"/>
      <c r="AH274" s="514"/>
      <c r="AI274" s="514"/>
      <c r="AJ274" s="514"/>
      <c r="AK274" s="514"/>
      <c r="AL274" s="514"/>
      <c r="AM274" s="514"/>
      <c r="AN274" s="514"/>
      <c r="AO274" s="514"/>
      <c r="AP274" s="514"/>
      <c r="AQ274" s="514"/>
      <c r="AR274" s="514"/>
      <c r="AS274" s="514"/>
      <c r="AT274" s="515"/>
      <c r="AU274" s="523"/>
      <c r="AV274" s="516"/>
      <c r="AW274" s="515"/>
      <c r="AX274" s="28"/>
      <c r="AY274" s="10"/>
    </row>
    <row r="275" spans="1:51" ht="14.25">
      <c r="A275" s="45"/>
      <c r="B275" s="46"/>
      <c r="C275" s="46" t="s">
        <v>1771</v>
      </c>
      <c r="D275" s="476" t="s">
        <v>1791</v>
      </c>
      <c r="E275" s="476"/>
      <c r="F275" s="476" t="s">
        <v>1721</v>
      </c>
      <c r="G275" s="47" t="s">
        <v>1724</v>
      </c>
      <c r="H275" s="646"/>
      <c r="I275" s="489"/>
      <c r="J275" s="545" t="s">
        <v>1797</v>
      </c>
      <c r="K275" s="546"/>
      <c r="L275" s="103"/>
      <c r="M275" s="458"/>
      <c r="N275" s="81"/>
      <c r="O275" s="483"/>
      <c r="P275" s="484"/>
      <c r="Q275" s="484"/>
      <c r="R275" s="484"/>
      <c r="S275" s="485"/>
      <c r="T275" s="486"/>
      <c r="U275" s="487"/>
      <c r="V275" s="487"/>
      <c r="W275" s="514"/>
      <c r="X275" s="514"/>
      <c r="Y275" s="514"/>
      <c r="Z275" s="514"/>
      <c r="AA275" s="514"/>
      <c r="AB275" s="514"/>
      <c r="AC275" s="514"/>
      <c r="AD275" s="514"/>
      <c r="AE275" s="514"/>
      <c r="AF275" s="514"/>
      <c r="AG275" s="514"/>
      <c r="AH275" s="514"/>
      <c r="AI275" s="514"/>
      <c r="AJ275" s="514"/>
      <c r="AK275" s="514"/>
      <c r="AL275" s="514"/>
      <c r="AM275" s="514"/>
      <c r="AN275" s="514"/>
      <c r="AO275" s="514"/>
      <c r="AP275" s="514"/>
      <c r="AQ275" s="514"/>
      <c r="AR275" s="514"/>
      <c r="AS275" s="514"/>
      <c r="AT275" s="488"/>
      <c r="AU275" s="523"/>
      <c r="AV275" s="516"/>
      <c r="AW275" s="488"/>
      <c r="AX275" s="28"/>
      <c r="AY275" s="10"/>
    </row>
    <row r="276" spans="1:51" ht="12.75" customHeight="1">
      <c r="A276" s="36"/>
      <c r="B276" s="37"/>
      <c r="C276" s="37" t="s">
        <v>1771</v>
      </c>
      <c r="D276" s="446" t="s">
        <v>1776</v>
      </c>
      <c r="E276" s="446"/>
      <c r="F276" s="446" t="s">
        <v>1694</v>
      </c>
      <c r="G276" s="447" t="s">
        <v>1705</v>
      </c>
      <c r="H276" s="646"/>
      <c r="I276" s="477"/>
      <c r="J276" s="541" t="s">
        <v>1778</v>
      </c>
      <c r="K276" s="542"/>
      <c r="L276" s="103"/>
      <c r="M276" s="458"/>
      <c r="N276" s="81"/>
      <c r="O276" s="483"/>
      <c r="P276" s="484"/>
      <c r="Q276" s="484"/>
      <c r="R276" s="484"/>
      <c r="S276" s="485"/>
      <c r="T276" s="486"/>
      <c r="U276" s="514"/>
      <c r="V276" s="514"/>
      <c r="W276" s="514"/>
      <c r="X276" s="514"/>
      <c r="Y276" s="514"/>
      <c r="Z276" s="514"/>
      <c r="AA276" s="514"/>
      <c r="AB276" s="514"/>
      <c r="AC276" s="514"/>
      <c r="AD276" s="514"/>
      <c r="AE276" s="514"/>
      <c r="AF276" s="514"/>
      <c r="AG276" s="514"/>
      <c r="AH276" s="514"/>
      <c r="AI276" s="514"/>
      <c r="AJ276" s="514"/>
      <c r="AK276" s="514"/>
      <c r="AL276" s="514"/>
      <c r="AM276" s="514"/>
      <c r="AN276" s="514"/>
      <c r="AO276" s="514"/>
      <c r="AP276" s="514"/>
      <c r="AQ276" s="514"/>
      <c r="AR276" s="514"/>
      <c r="AS276" s="514"/>
      <c r="AT276" s="515"/>
      <c r="AU276" s="523"/>
      <c r="AV276" s="516"/>
      <c r="AW276" s="515"/>
      <c r="AX276" s="28"/>
      <c r="AY276" s="10"/>
    </row>
    <row r="277" spans="1:51" ht="14.25">
      <c r="A277" s="40"/>
      <c r="B277" s="12"/>
      <c r="C277" s="12" t="s">
        <v>1771</v>
      </c>
      <c r="D277" s="455" t="s">
        <v>1776</v>
      </c>
      <c r="E277" s="455"/>
      <c r="F277" s="455" t="s">
        <v>1694</v>
      </c>
      <c r="G277" s="41" t="s">
        <v>638</v>
      </c>
      <c r="H277" s="646"/>
      <c r="I277" s="482"/>
      <c r="J277" s="543" t="s">
        <v>1779</v>
      </c>
      <c r="K277" s="544"/>
      <c r="L277" s="103"/>
      <c r="M277" s="458"/>
      <c r="N277" s="81"/>
      <c r="O277" s="483"/>
      <c r="P277" s="484"/>
      <c r="Q277" s="484"/>
      <c r="R277" s="484"/>
      <c r="S277" s="485"/>
      <c r="T277" s="486"/>
      <c r="U277" s="514"/>
      <c r="V277" s="514"/>
      <c r="W277" s="514"/>
      <c r="X277" s="514"/>
      <c r="Y277" s="514"/>
      <c r="Z277" s="514"/>
      <c r="AA277" s="514"/>
      <c r="AB277" s="514"/>
      <c r="AC277" s="514"/>
      <c r="AD277" s="514"/>
      <c r="AE277" s="514"/>
      <c r="AF277" s="514"/>
      <c r="AG277" s="514"/>
      <c r="AH277" s="514"/>
      <c r="AI277" s="514"/>
      <c r="AJ277" s="514"/>
      <c r="AK277" s="514"/>
      <c r="AL277" s="514"/>
      <c r="AM277" s="514"/>
      <c r="AN277" s="514"/>
      <c r="AO277" s="514"/>
      <c r="AP277" s="514"/>
      <c r="AQ277" s="514"/>
      <c r="AR277" s="514"/>
      <c r="AS277" s="514"/>
      <c r="AT277" s="515"/>
      <c r="AU277" s="523"/>
      <c r="AV277" s="516"/>
      <c r="AW277" s="515"/>
      <c r="AX277" s="28"/>
      <c r="AY277" s="10"/>
    </row>
    <row r="278" spans="1:51" ht="14.25">
      <c r="A278" s="40"/>
      <c r="B278" s="12"/>
      <c r="C278" s="12" t="s">
        <v>1771</v>
      </c>
      <c r="D278" s="455" t="s">
        <v>1776</v>
      </c>
      <c r="E278" s="455"/>
      <c r="F278" s="455" t="s">
        <v>1694</v>
      </c>
      <c r="G278" s="41" t="s">
        <v>640</v>
      </c>
      <c r="H278" s="646"/>
      <c r="I278" s="482"/>
      <c r="J278" s="543" t="s">
        <v>1780</v>
      </c>
      <c r="K278" s="544"/>
      <c r="L278" s="103"/>
      <c r="M278" s="458"/>
      <c r="N278" s="81"/>
      <c r="O278" s="483"/>
      <c r="P278" s="484"/>
      <c r="Q278" s="484"/>
      <c r="R278" s="484"/>
      <c r="S278" s="485"/>
      <c r="T278" s="486"/>
      <c r="U278" s="514"/>
      <c r="V278" s="514"/>
      <c r="W278" s="514"/>
      <c r="X278" s="514"/>
      <c r="Y278" s="514"/>
      <c r="Z278" s="514"/>
      <c r="AA278" s="514"/>
      <c r="AB278" s="514"/>
      <c r="AC278" s="514"/>
      <c r="AD278" s="514"/>
      <c r="AE278" s="514"/>
      <c r="AF278" s="514"/>
      <c r="AG278" s="514"/>
      <c r="AH278" s="514"/>
      <c r="AI278" s="514"/>
      <c r="AJ278" s="514"/>
      <c r="AK278" s="514"/>
      <c r="AL278" s="514"/>
      <c r="AM278" s="514"/>
      <c r="AN278" s="514"/>
      <c r="AO278" s="514"/>
      <c r="AP278" s="514"/>
      <c r="AQ278" s="514"/>
      <c r="AR278" s="514"/>
      <c r="AS278" s="514"/>
      <c r="AT278" s="515"/>
      <c r="AU278" s="523"/>
      <c r="AV278" s="516"/>
      <c r="AW278" s="515"/>
      <c r="AX278" s="28"/>
      <c r="AY278" s="10"/>
    </row>
    <row r="279" spans="1:51" ht="14.25">
      <c r="A279" s="40"/>
      <c r="B279" s="12"/>
      <c r="C279" s="12" t="s">
        <v>1771</v>
      </c>
      <c r="D279" s="455" t="s">
        <v>1776</v>
      </c>
      <c r="E279" s="455"/>
      <c r="F279" s="455" t="s">
        <v>1694</v>
      </c>
      <c r="G279" s="41" t="s">
        <v>1702</v>
      </c>
      <c r="H279" s="646"/>
      <c r="I279" s="482"/>
      <c r="J279" s="543" t="s">
        <v>1781</v>
      </c>
      <c r="K279" s="544"/>
      <c r="L279" s="103"/>
      <c r="M279" s="458"/>
      <c r="N279" s="81"/>
      <c r="O279" s="483"/>
      <c r="P279" s="484"/>
      <c r="Q279" s="484"/>
      <c r="R279" s="484"/>
      <c r="S279" s="485"/>
      <c r="T279" s="486"/>
      <c r="U279" s="514"/>
      <c r="V279" s="514"/>
      <c r="W279" s="514"/>
      <c r="X279" s="514"/>
      <c r="Y279" s="514"/>
      <c r="Z279" s="514"/>
      <c r="AA279" s="514"/>
      <c r="AB279" s="514"/>
      <c r="AC279" s="514"/>
      <c r="AD279" s="514"/>
      <c r="AE279" s="514"/>
      <c r="AF279" s="514"/>
      <c r="AG279" s="514"/>
      <c r="AH279" s="514"/>
      <c r="AI279" s="514"/>
      <c r="AJ279" s="514"/>
      <c r="AK279" s="514"/>
      <c r="AL279" s="514"/>
      <c r="AM279" s="514"/>
      <c r="AN279" s="514"/>
      <c r="AO279" s="514"/>
      <c r="AP279" s="514"/>
      <c r="AQ279" s="514"/>
      <c r="AR279" s="514"/>
      <c r="AS279" s="514"/>
      <c r="AT279" s="515"/>
      <c r="AU279" s="523"/>
      <c r="AV279" s="516"/>
      <c r="AW279" s="515"/>
      <c r="AX279" s="28"/>
      <c r="AY279" s="10"/>
    </row>
    <row r="280" spans="1:51" ht="14.25">
      <c r="A280" s="40"/>
      <c r="B280" s="12"/>
      <c r="C280" s="12" t="s">
        <v>1771</v>
      </c>
      <c r="D280" s="455" t="s">
        <v>1776</v>
      </c>
      <c r="E280" s="455"/>
      <c r="F280" s="455" t="s">
        <v>1721</v>
      </c>
      <c r="G280" s="41" t="s">
        <v>476</v>
      </c>
      <c r="H280" s="646"/>
      <c r="I280" s="482"/>
      <c r="J280" s="543" t="s">
        <v>1782</v>
      </c>
      <c r="K280" s="544"/>
      <c r="L280" s="103"/>
      <c r="M280" s="458"/>
      <c r="N280" s="81"/>
      <c r="O280" s="483"/>
      <c r="P280" s="484"/>
      <c r="Q280" s="484"/>
      <c r="R280" s="484"/>
      <c r="S280" s="485"/>
      <c r="T280" s="486"/>
      <c r="U280" s="514"/>
      <c r="V280" s="514"/>
      <c r="W280" s="514"/>
      <c r="X280" s="514"/>
      <c r="Y280" s="514"/>
      <c r="Z280" s="514"/>
      <c r="AA280" s="514"/>
      <c r="AB280" s="514"/>
      <c r="AC280" s="514"/>
      <c r="AD280" s="514"/>
      <c r="AE280" s="514"/>
      <c r="AF280" s="514"/>
      <c r="AG280" s="514"/>
      <c r="AH280" s="514"/>
      <c r="AI280" s="514"/>
      <c r="AJ280" s="514"/>
      <c r="AK280" s="514"/>
      <c r="AL280" s="514"/>
      <c r="AM280" s="514"/>
      <c r="AN280" s="514"/>
      <c r="AO280" s="514"/>
      <c r="AP280" s="514"/>
      <c r="AQ280" s="514"/>
      <c r="AR280" s="514"/>
      <c r="AS280" s="514"/>
      <c r="AT280" s="515"/>
      <c r="AU280" s="523"/>
      <c r="AV280" s="516"/>
      <c r="AW280" s="515"/>
      <c r="AX280" s="28"/>
      <c r="AY280" s="10"/>
    </row>
    <row r="281" spans="1:51" ht="14.25">
      <c r="A281" s="40"/>
      <c r="B281" s="12"/>
      <c r="C281" s="12" t="s">
        <v>1771</v>
      </c>
      <c r="D281" s="455" t="s">
        <v>1776</v>
      </c>
      <c r="E281" s="455"/>
      <c r="F281" s="455" t="s">
        <v>1721</v>
      </c>
      <c r="G281" s="41" t="s">
        <v>1724</v>
      </c>
      <c r="H281" s="646"/>
      <c r="I281" s="482"/>
      <c r="J281" s="543" t="s">
        <v>1783</v>
      </c>
      <c r="K281" s="544"/>
      <c r="L281" s="103"/>
      <c r="M281" s="458"/>
      <c r="N281" s="81"/>
      <c r="O281" s="483"/>
      <c r="P281" s="484"/>
      <c r="Q281" s="484"/>
      <c r="R281" s="484"/>
      <c r="S281" s="485"/>
      <c r="T281" s="486"/>
      <c r="U281" s="487"/>
      <c r="V281" s="487"/>
      <c r="W281" s="514"/>
      <c r="X281" s="514"/>
      <c r="Y281" s="514"/>
      <c r="Z281" s="514"/>
      <c r="AA281" s="514"/>
      <c r="AB281" s="514"/>
      <c r="AC281" s="514"/>
      <c r="AD281" s="514"/>
      <c r="AE281" s="514"/>
      <c r="AF281" s="514"/>
      <c r="AG281" s="514"/>
      <c r="AH281" s="514"/>
      <c r="AI281" s="514"/>
      <c r="AJ281" s="514"/>
      <c r="AK281" s="514"/>
      <c r="AL281" s="514"/>
      <c r="AM281" s="514"/>
      <c r="AN281" s="514"/>
      <c r="AO281" s="514"/>
      <c r="AP281" s="514"/>
      <c r="AQ281" s="514"/>
      <c r="AR281" s="514"/>
      <c r="AS281" s="514"/>
      <c r="AT281" s="488"/>
      <c r="AU281" s="523"/>
      <c r="AV281" s="516"/>
      <c r="AW281" s="488"/>
      <c r="AX281" s="28"/>
      <c r="AY281" s="10"/>
    </row>
    <row r="282" spans="1:51" ht="14.25">
      <c r="A282" s="40"/>
      <c r="B282" s="12"/>
      <c r="C282" s="12" t="s">
        <v>1771</v>
      </c>
      <c r="D282" s="455" t="s">
        <v>1784</v>
      </c>
      <c r="E282" s="455"/>
      <c r="F282" s="455" t="s">
        <v>1694</v>
      </c>
      <c r="G282" s="41" t="s">
        <v>1705</v>
      </c>
      <c r="H282" s="646"/>
      <c r="I282" s="482"/>
      <c r="J282" s="543" t="s">
        <v>1785</v>
      </c>
      <c r="K282" s="544"/>
      <c r="L282" s="103"/>
      <c r="M282" s="458"/>
      <c r="N282" s="81"/>
      <c r="O282" s="483"/>
      <c r="P282" s="484"/>
      <c r="Q282" s="484"/>
      <c r="R282" s="484"/>
      <c r="S282" s="485"/>
      <c r="T282" s="486"/>
      <c r="U282" s="514"/>
      <c r="V282" s="514"/>
      <c r="W282" s="514"/>
      <c r="X282" s="514"/>
      <c r="Y282" s="514"/>
      <c r="Z282" s="514"/>
      <c r="AA282" s="514"/>
      <c r="AB282" s="514"/>
      <c r="AC282" s="514"/>
      <c r="AD282" s="514"/>
      <c r="AE282" s="514"/>
      <c r="AF282" s="514"/>
      <c r="AG282" s="514"/>
      <c r="AH282" s="514"/>
      <c r="AI282" s="514"/>
      <c r="AJ282" s="514"/>
      <c r="AK282" s="514"/>
      <c r="AL282" s="514"/>
      <c r="AM282" s="514"/>
      <c r="AN282" s="514"/>
      <c r="AO282" s="514"/>
      <c r="AP282" s="514"/>
      <c r="AQ282" s="514"/>
      <c r="AR282" s="514"/>
      <c r="AS282" s="514"/>
      <c r="AT282" s="515"/>
      <c r="AU282" s="523"/>
      <c r="AV282" s="516"/>
      <c r="AW282" s="515"/>
      <c r="AX282" s="28"/>
      <c r="AY282" s="10"/>
    </row>
    <row r="283" spans="1:51" ht="14.25">
      <c r="A283" s="40"/>
      <c r="B283" s="12"/>
      <c r="C283" s="12" t="s">
        <v>1771</v>
      </c>
      <c r="D283" s="455" t="s">
        <v>1784</v>
      </c>
      <c r="E283" s="455"/>
      <c r="F283" s="455" t="s">
        <v>1694</v>
      </c>
      <c r="G283" s="41" t="s">
        <v>638</v>
      </c>
      <c r="H283" s="646"/>
      <c r="I283" s="482"/>
      <c r="J283" s="543" t="s">
        <v>1786</v>
      </c>
      <c r="K283" s="544"/>
      <c r="L283" s="103"/>
      <c r="M283" s="458"/>
      <c r="N283" s="81"/>
      <c r="O283" s="483"/>
      <c r="P283" s="484"/>
      <c r="Q283" s="484"/>
      <c r="R283" s="484"/>
      <c r="S283" s="485"/>
      <c r="T283" s="486"/>
      <c r="U283" s="514"/>
      <c r="V283" s="514"/>
      <c r="W283" s="514"/>
      <c r="X283" s="514"/>
      <c r="Y283" s="514"/>
      <c r="Z283" s="514"/>
      <c r="AA283" s="514"/>
      <c r="AB283" s="514"/>
      <c r="AC283" s="514"/>
      <c r="AD283" s="514"/>
      <c r="AE283" s="514"/>
      <c r="AF283" s="514"/>
      <c r="AG283" s="514"/>
      <c r="AH283" s="514"/>
      <c r="AI283" s="514"/>
      <c r="AJ283" s="514"/>
      <c r="AK283" s="514"/>
      <c r="AL283" s="514"/>
      <c r="AM283" s="514"/>
      <c r="AN283" s="514"/>
      <c r="AO283" s="514"/>
      <c r="AP283" s="514"/>
      <c r="AQ283" s="514"/>
      <c r="AR283" s="514"/>
      <c r="AS283" s="514"/>
      <c r="AT283" s="515"/>
      <c r="AU283" s="523"/>
      <c r="AV283" s="516"/>
      <c r="AW283" s="515"/>
      <c r="AX283" s="28"/>
      <c r="AY283" s="10"/>
    </row>
    <row r="284" spans="1:51" ht="14.25">
      <c r="A284" s="40"/>
      <c r="B284" s="12"/>
      <c r="C284" s="12" t="s">
        <v>1771</v>
      </c>
      <c r="D284" s="455" t="s">
        <v>1784</v>
      </c>
      <c r="E284" s="455"/>
      <c r="F284" s="455" t="s">
        <v>1694</v>
      </c>
      <c r="G284" s="41" t="s">
        <v>640</v>
      </c>
      <c r="H284" s="646"/>
      <c r="I284" s="482"/>
      <c r="J284" s="543" t="s">
        <v>1787</v>
      </c>
      <c r="K284" s="544"/>
      <c r="L284" s="103"/>
      <c r="M284" s="458"/>
      <c r="N284" s="81"/>
      <c r="O284" s="483"/>
      <c r="P284" s="484"/>
      <c r="Q284" s="484"/>
      <c r="R284" s="484"/>
      <c r="S284" s="485"/>
      <c r="T284" s="486"/>
      <c r="U284" s="514"/>
      <c r="V284" s="514"/>
      <c r="W284" s="514"/>
      <c r="X284" s="514"/>
      <c r="Y284" s="514"/>
      <c r="Z284" s="514"/>
      <c r="AA284" s="514"/>
      <c r="AB284" s="514"/>
      <c r="AC284" s="514"/>
      <c r="AD284" s="514"/>
      <c r="AE284" s="514"/>
      <c r="AF284" s="514"/>
      <c r="AG284" s="514"/>
      <c r="AH284" s="514"/>
      <c r="AI284" s="514"/>
      <c r="AJ284" s="514"/>
      <c r="AK284" s="514"/>
      <c r="AL284" s="514"/>
      <c r="AM284" s="514"/>
      <c r="AN284" s="514"/>
      <c r="AO284" s="514"/>
      <c r="AP284" s="514"/>
      <c r="AQ284" s="514"/>
      <c r="AR284" s="514"/>
      <c r="AS284" s="514"/>
      <c r="AT284" s="515"/>
      <c r="AU284" s="523"/>
      <c r="AV284" s="516"/>
      <c r="AW284" s="515"/>
      <c r="AX284" s="28"/>
      <c r="AY284" s="10"/>
    </row>
    <row r="285" spans="1:51" ht="14.25">
      <c r="A285" s="40"/>
      <c r="B285" s="12"/>
      <c r="C285" s="12" t="s">
        <v>1771</v>
      </c>
      <c r="D285" s="455" t="s">
        <v>1784</v>
      </c>
      <c r="E285" s="455"/>
      <c r="F285" s="455" t="s">
        <v>1694</v>
      </c>
      <c r="G285" s="41" t="s">
        <v>1702</v>
      </c>
      <c r="H285" s="646"/>
      <c r="I285" s="482"/>
      <c r="J285" s="543" t="s">
        <v>1788</v>
      </c>
      <c r="K285" s="544"/>
      <c r="L285" s="103"/>
      <c r="M285" s="458"/>
      <c r="N285" s="81"/>
      <c r="O285" s="483"/>
      <c r="P285" s="484"/>
      <c r="Q285" s="484"/>
      <c r="R285" s="484"/>
      <c r="S285" s="485"/>
      <c r="T285" s="486"/>
      <c r="U285" s="514"/>
      <c r="V285" s="514"/>
      <c r="W285" s="514"/>
      <c r="X285" s="514"/>
      <c r="Y285" s="514"/>
      <c r="Z285" s="514"/>
      <c r="AA285" s="514"/>
      <c r="AB285" s="514"/>
      <c r="AC285" s="514"/>
      <c r="AD285" s="514"/>
      <c r="AE285" s="514"/>
      <c r="AF285" s="514"/>
      <c r="AG285" s="514"/>
      <c r="AH285" s="514"/>
      <c r="AI285" s="514"/>
      <c r="AJ285" s="514"/>
      <c r="AK285" s="514"/>
      <c r="AL285" s="514"/>
      <c r="AM285" s="514"/>
      <c r="AN285" s="514"/>
      <c r="AO285" s="514"/>
      <c r="AP285" s="514"/>
      <c r="AQ285" s="514"/>
      <c r="AR285" s="514"/>
      <c r="AS285" s="514"/>
      <c r="AT285" s="515"/>
      <c r="AU285" s="523"/>
      <c r="AV285" s="516"/>
      <c r="AW285" s="515"/>
      <c r="AX285" s="28"/>
      <c r="AY285" s="10"/>
    </row>
    <row r="286" spans="1:51" ht="14.25">
      <c r="A286" s="40"/>
      <c r="B286" s="12"/>
      <c r="C286" s="12" t="s">
        <v>1771</v>
      </c>
      <c r="D286" s="455" t="s">
        <v>1784</v>
      </c>
      <c r="E286" s="455"/>
      <c r="F286" s="455" t="s">
        <v>1721</v>
      </c>
      <c r="G286" s="41" t="s">
        <v>476</v>
      </c>
      <c r="H286" s="646"/>
      <c r="I286" s="482"/>
      <c r="J286" s="543" t="s">
        <v>1789</v>
      </c>
      <c r="K286" s="544"/>
      <c r="L286" s="103"/>
      <c r="M286" s="458"/>
      <c r="N286" s="81"/>
      <c r="O286" s="483"/>
      <c r="P286" s="484"/>
      <c r="Q286" s="484"/>
      <c r="R286" s="484"/>
      <c r="S286" s="485"/>
      <c r="T286" s="486"/>
      <c r="U286" s="514"/>
      <c r="V286" s="514"/>
      <c r="W286" s="514"/>
      <c r="X286" s="514"/>
      <c r="Y286" s="514"/>
      <c r="Z286" s="514"/>
      <c r="AA286" s="514"/>
      <c r="AB286" s="514"/>
      <c r="AC286" s="514"/>
      <c r="AD286" s="514"/>
      <c r="AE286" s="514"/>
      <c r="AF286" s="514"/>
      <c r="AG286" s="514"/>
      <c r="AH286" s="514"/>
      <c r="AI286" s="514"/>
      <c r="AJ286" s="514"/>
      <c r="AK286" s="514"/>
      <c r="AL286" s="514"/>
      <c r="AM286" s="514"/>
      <c r="AN286" s="514"/>
      <c r="AO286" s="514"/>
      <c r="AP286" s="514"/>
      <c r="AQ286" s="514"/>
      <c r="AR286" s="514"/>
      <c r="AS286" s="514"/>
      <c r="AT286" s="515"/>
      <c r="AU286" s="523"/>
      <c r="AV286" s="516"/>
      <c r="AW286" s="515"/>
      <c r="AX286" s="28"/>
      <c r="AY286" s="10"/>
    </row>
    <row r="287" spans="1:51" ht="14.25">
      <c r="A287" s="40"/>
      <c r="B287" s="12"/>
      <c r="C287" s="12" t="s">
        <v>1771</v>
      </c>
      <c r="D287" s="455" t="s">
        <v>1784</v>
      </c>
      <c r="E287" s="455"/>
      <c r="F287" s="455" t="s">
        <v>1721</v>
      </c>
      <c r="G287" s="41" t="s">
        <v>1724</v>
      </c>
      <c r="H287" s="646"/>
      <c r="I287" s="482"/>
      <c r="J287" s="543" t="s">
        <v>1790</v>
      </c>
      <c r="K287" s="544"/>
      <c r="L287" s="103"/>
      <c r="M287" s="458"/>
      <c r="N287" s="81"/>
      <c r="O287" s="483"/>
      <c r="P287" s="484"/>
      <c r="Q287" s="484"/>
      <c r="R287" s="484"/>
      <c r="S287" s="485"/>
      <c r="T287" s="486"/>
      <c r="U287" s="487"/>
      <c r="V287" s="487"/>
      <c r="W287" s="514"/>
      <c r="X287" s="514"/>
      <c r="Y287" s="514"/>
      <c r="Z287" s="514"/>
      <c r="AA287" s="514"/>
      <c r="AB287" s="514"/>
      <c r="AC287" s="514"/>
      <c r="AD287" s="514"/>
      <c r="AE287" s="514"/>
      <c r="AF287" s="514"/>
      <c r="AG287" s="514"/>
      <c r="AH287" s="514"/>
      <c r="AI287" s="514"/>
      <c r="AJ287" s="514"/>
      <c r="AK287" s="514"/>
      <c r="AL287" s="514"/>
      <c r="AM287" s="514"/>
      <c r="AN287" s="514"/>
      <c r="AO287" s="514"/>
      <c r="AP287" s="514"/>
      <c r="AQ287" s="514"/>
      <c r="AR287" s="514"/>
      <c r="AS287" s="514"/>
      <c r="AT287" s="488"/>
      <c r="AU287" s="523"/>
      <c r="AV287" s="516"/>
      <c r="AW287" s="488"/>
      <c r="AX287" s="28"/>
      <c r="AY287" s="10"/>
    </row>
    <row r="288" spans="1:51" ht="14.25">
      <c r="A288" s="40"/>
      <c r="B288" s="12"/>
      <c r="C288" s="12" t="s">
        <v>1771</v>
      </c>
      <c r="D288" s="455" t="s">
        <v>1791</v>
      </c>
      <c r="E288" s="455"/>
      <c r="F288" s="455" t="s">
        <v>1694</v>
      </c>
      <c r="G288" s="41" t="s">
        <v>1705</v>
      </c>
      <c r="H288" s="646"/>
      <c r="I288" s="482"/>
      <c r="J288" s="543" t="s">
        <v>1792</v>
      </c>
      <c r="K288" s="544"/>
      <c r="L288" s="103"/>
      <c r="M288" s="458"/>
      <c r="N288" s="81"/>
      <c r="O288" s="483"/>
      <c r="P288" s="484"/>
      <c r="Q288" s="484"/>
      <c r="R288" s="484"/>
      <c r="S288" s="485"/>
      <c r="T288" s="486"/>
      <c r="U288" s="514"/>
      <c r="V288" s="514"/>
      <c r="W288" s="514"/>
      <c r="X288" s="514"/>
      <c r="Y288" s="514"/>
      <c r="Z288" s="514"/>
      <c r="AA288" s="514"/>
      <c r="AB288" s="514"/>
      <c r="AC288" s="514"/>
      <c r="AD288" s="514"/>
      <c r="AE288" s="514"/>
      <c r="AF288" s="514"/>
      <c r="AG288" s="514"/>
      <c r="AH288" s="514"/>
      <c r="AI288" s="514"/>
      <c r="AJ288" s="514"/>
      <c r="AK288" s="514"/>
      <c r="AL288" s="514"/>
      <c r="AM288" s="514"/>
      <c r="AN288" s="514"/>
      <c r="AO288" s="514"/>
      <c r="AP288" s="514"/>
      <c r="AQ288" s="514"/>
      <c r="AR288" s="514"/>
      <c r="AS288" s="514"/>
      <c r="AT288" s="515"/>
      <c r="AU288" s="523"/>
      <c r="AV288" s="516"/>
      <c r="AW288" s="515"/>
      <c r="AX288" s="28"/>
      <c r="AY288" s="10"/>
    </row>
    <row r="289" spans="1:51" ht="14.25">
      <c r="A289" s="40"/>
      <c r="B289" s="12"/>
      <c r="C289" s="12" t="s">
        <v>1771</v>
      </c>
      <c r="D289" s="455" t="s">
        <v>1791</v>
      </c>
      <c r="E289" s="455"/>
      <c r="F289" s="455" t="s">
        <v>1694</v>
      </c>
      <c r="G289" s="41" t="s">
        <v>638</v>
      </c>
      <c r="H289" s="646"/>
      <c r="I289" s="482"/>
      <c r="J289" s="543" t="s">
        <v>1793</v>
      </c>
      <c r="K289" s="544"/>
      <c r="L289" s="103"/>
      <c r="M289" s="458"/>
      <c r="N289" s="81"/>
      <c r="O289" s="483"/>
      <c r="P289" s="484"/>
      <c r="Q289" s="484"/>
      <c r="R289" s="484"/>
      <c r="S289" s="485"/>
      <c r="T289" s="486"/>
      <c r="U289" s="514"/>
      <c r="V289" s="514"/>
      <c r="W289" s="514"/>
      <c r="X289" s="514"/>
      <c r="Y289" s="514"/>
      <c r="Z289" s="514"/>
      <c r="AA289" s="514"/>
      <c r="AB289" s="514"/>
      <c r="AC289" s="514"/>
      <c r="AD289" s="514"/>
      <c r="AE289" s="514"/>
      <c r="AF289" s="514"/>
      <c r="AG289" s="514"/>
      <c r="AH289" s="514"/>
      <c r="AI289" s="514"/>
      <c r="AJ289" s="514"/>
      <c r="AK289" s="514"/>
      <c r="AL289" s="514"/>
      <c r="AM289" s="514"/>
      <c r="AN289" s="514"/>
      <c r="AO289" s="514"/>
      <c r="AP289" s="514"/>
      <c r="AQ289" s="514"/>
      <c r="AR289" s="514"/>
      <c r="AS289" s="514"/>
      <c r="AT289" s="515"/>
      <c r="AU289" s="523"/>
      <c r="AV289" s="516"/>
      <c r="AW289" s="515"/>
      <c r="AX289" s="28"/>
      <c r="AY289" s="10"/>
    </row>
    <row r="290" spans="1:51" ht="14.25">
      <c r="A290" s="40"/>
      <c r="B290" s="12"/>
      <c r="C290" s="12" t="s">
        <v>1771</v>
      </c>
      <c r="D290" s="455" t="s">
        <v>1791</v>
      </c>
      <c r="E290" s="455"/>
      <c r="F290" s="455" t="s">
        <v>1694</v>
      </c>
      <c r="G290" s="41" t="s">
        <v>640</v>
      </c>
      <c r="H290" s="646"/>
      <c r="I290" s="482"/>
      <c r="J290" s="543" t="s">
        <v>1794</v>
      </c>
      <c r="K290" s="544"/>
      <c r="L290" s="103"/>
      <c r="M290" s="458"/>
      <c r="N290" s="81"/>
      <c r="O290" s="483"/>
      <c r="P290" s="484"/>
      <c r="Q290" s="484"/>
      <c r="R290" s="484"/>
      <c r="S290" s="485"/>
      <c r="T290" s="486"/>
      <c r="U290" s="514"/>
      <c r="V290" s="514"/>
      <c r="W290" s="514"/>
      <c r="X290" s="514"/>
      <c r="Y290" s="514"/>
      <c r="Z290" s="514"/>
      <c r="AA290" s="514"/>
      <c r="AB290" s="514"/>
      <c r="AC290" s="514"/>
      <c r="AD290" s="514"/>
      <c r="AE290" s="514"/>
      <c r="AF290" s="514"/>
      <c r="AG290" s="514"/>
      <c r="AH290" s="514"/>
      <c r="AI290" s="514"/>
      <c r="AJ290" s="514"/>
      <c r="AK290" s="514"/>
      <c r="AL290" s="514"/>
      <c r="AM290" s="514"/>
      <c r="AN290" s="514"/>
      <c r="AO290" s="514"/>
      <c r="AP290" s="514"/>
      <c r="AQ290" s="514"/>
      <c r="AR290" s="514"/>
      <c r="AS290" s="514"/>
      <c r="AT290" s="515"/>
      <c r="AU290" s="523"/>
      <c r="AV290" s="516"/>
      <c r="AW290" s="515"/>
      <c r="AX290" s="28"/>
      <c r="AY290" s="10"/>
    </row>
    <row r="291" spans="1:51" ht="14.25">
      <c r="A291" s="40"/>
      <c r="B291" s="12"/>
      <c r="C291" s="12" t="s">
        <v>1771</v>
      </c>
      <c r="D291" s="455" t="s">
        <v>1791</v>
      </c>
      <c r="E291" s="455"/>
      <c r="F291" s="455" t="s">
        <v>1694</v>
      </c>
      <c r="G291" s="41" t="s">
        <v>1702</v>
      </c>
      <c r="H291" s="646"/>
      <c r="I291" s="482"/>
      <c r="J291" s="543" t="s">
        <v>1795</v>
      </c>
      <c r="K291" s="544"/>
      <c r="L291" s="103"/>
      <c r="M291" s="458"/>
      <c r="N291" s="81"/>
      <c r="O291" s="483"/>
      <c r="P291" s="484"/>
      <c r="Q291" s="484"/>
      <c r="R291" s="484"/>
      <c r="S291" s="485"/>
      <c r="T291" s="486"/>
      <c r="U291" s="514"/>
      <c r="V291" s="514"/>
      <c r="W291" s="514"/>
      <c r="X291" s="514"/>
      <c r="Y291" s="514"/>
      <c r="Z291" s="514"/>
      <c r="AA291" s="514"/>
      <c r="AB291" s="514"/>
      <c r="AC291" s="514"/>
      <c r="AD291" s="514"/>
      <c r="AE291" s="514"/>
      <c r="AF291" s="514"/>
      <c r="AG291" s="514"/>
      <c r="AH291" s="514"/>
      <c r="AI291" s="514"/>
      <c r="AJ291" s="514"/>
      <c r="AK291" s="514"/>
      <c r="AL291" s="514"/>
      <c r="AM291" s="514"/>
      <c r="AN291" s="514"/>
      <c r="AO291" s="514"/>
      <c r="AP291" s="514"/>
      <c r="AQ291" s="514"/>
      <c r="AR291" s="514"/>
      <c r="AS291" s="514"/>
      <c r="AT291" s="515"/>
      <c r="AU291" s="523"/>
      <c r="AV291" s="516"/>
      <c r="AW291" s="515"/>
      <c r="AX291" s="28"/>
      <c r="AY291" s="10"/>
    </row>
    <row r="292" spans="1:51" ht="14.25">
      <c r="A292" s="40"/>
      <c r="B292" s="12"/>
      <c r="C292" s="12" t="s">
        <v>1771</v>
      </c>
      <c r="D292" s="455" t="s">
        <v>1791</v>
      </c>
      <c r="E292" s="455"/>
      <c r="F292" s="455" t="s">
        <v>1721</v>
      </c>
      <c r="G292" s="41" t="s">
        <v>476</v>
      </c>
      <c r="H292" s="646"/>
      <c r="I292" s="489"/>
      <c r="J292" s="543" t="s">
        <v>1796</v>
      </c>
      <c r="K292" s="544"/>
      <c r="L292" s="103"/>
      <c r="M292" s="458"/>
      <c r="N292" s="81"/>
      <c r="O292" s="483"/>
      <c r="P292" s="484"/>
      <c r="Q292" s="484"/>
      <c r="R292" s="484"/>
      <c r="S292" s="485"/>
      <c r="T292" s="486"/>
      <c r="U292" s="514"/>
      <c r="V292" s="514"/>
      <c r="W292" s="514"/>
      <c r="X292" s="514"/>
      <c r="Y292" s="514"/>
      <c r="Z292" s="514"/>
      <c r="AA292" s="514"/>
      <c r="AB292" s="514"/>
      <c r="AC292" s="514"/>
      <c r="AD292" s="514"/>
      <c r="AE292" s="514"/>
      <c r="AF292" s="514"/>
      <c r="AG292" s="514"/>
      <c r="AH292" s="514"/>
      <c r="AI292" s="514"/>
      <c r="AJ292" s="514"/>
      <c r="AK292" s="514"/>
      <c r="AL292" s="514"/>
      <c r="AM292" s="514"/>
      <c r="AN292" s="514"/>
      <c r="AO292" s="514"/>
      <c r="AP292" s="514"/>
      <c r="AQ292" s="514"/>
      <c r="AR292" s="514"/>
      <c r="AS292" s="514"/>
      <c r="AT292" s="515"/>
      <c r="AU292" s="523"/>
      <c r="AV292" s="516"/>
      <c r="AW292" s="515"/>
      <c r="AX292" s="28"/>
      <c r="AY292" s="10"/>
    </row>
    <row r="293" spans="1:51" ht="14.25">
      <c r="A293" s="40"/>
      <c r="B293" s="12"/>
      <c r="C293" s="12" t="s">
        <v>1771</v>
      </c>
      <c r="D293" s="455" t="s">
        <v>1791</v>
      </c>
      <c r="E293" s="455"/>
      <c r="F293" s="455" t="s">
        <v>1721</v>
      </c>
      <c r="G293" s="41" t="s">
        <v>1724</v>
      </c>
      <c r="H293" s="646"/>
      <c r="I293" s="530"/>
      <c r="J293" s="545" t="s">
        <v>1797</v>
      </c>
      <c r="K293" s="546"/>
      <c r="L293" s="103"/>
      <c r="M293" s="458"/>
      <c r="N293" s="81"/>
      <c r="O293" s="483"/>
      <c r="P293" s="484"/>
      <c r="Q293" s="484"/>
      <c r="R293" s="484"/>
      <c r="S293" s="485"/>
      <c r="T293" s="486"/>
      <c r="U293" s="487"/>
      <c r="V293" s="487"/>
      <c r="W293" s="514"/>
      <c r="X293" s="514"/>
      <c r="Y293" s="514"/>
      <c r="Z293" s="514"/>
      <c r="AA293" s="514"/>
      <c r="AB293" s="514"/>
      <c r="AC293" s="514"/>
      <c r="AD293" s="514"/>
      <c r="AE293" s="514"/>
      <c r="AF293" s="514"/>
      <c r="AG293" s="514"/>
      <c r="AH293" s="514"/>
      <c r="AI293" s="514"/>
      <c r="AJ293" s="514"/>
      <c r="AK293" s="514"/>
      <c r="AL293" s="514"/>
      <c r="AM293" s="514"/>
      <c r="AN293" s="514"/>
      <c r="AO293" s="514"/>
      <c r="AP293" s="514"/>
      <c r="AQ293" s="514"/>
      <c r="AR293" s="514"/>
      <c r="AS293" s="514"/>
      <c r="AT293" s="488"/>
      <c r="AU293" s="523"/>
      <c r="AV293" s="516"/>
      <c r="AW293" s="488"/>
      <c r="AX293" s="28"/>
      <c r="AY293" s="10"/>
    </row>
    <row r="294" spans="1:51" ht="14.25">
      <c r="A294" s="40"/>
      <c r="B294" s="12"/>
      <c r="C294" s="12"/>
      <c r="D294" s="455"/>
      <c r="E294" s="455"/>
      <c r="F294" s="455"/>
      <c r="G294" s="41"/>
      <c r="H294" s="646"/>
      <c r="I294" s="490"/>
      <c r="J294" s="469" t="s">
        <v>1798</v>
      </c>
      <c r="K294" s="470"/>
      <c r="L294" s="103"/>
      <c r="M294" s="458"/>
      <c r="N294" s="81"/>
      <c r="O294" s="483"/>
      <c r="P294" s="484"/>
      <c r="Q294" s="484"/>
      <c r="R294" s="484"/>
      <c r="S294" s="485"/>
      <c r="T294" s="55"/>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335"/>
      <c r="AU294" s="523"/>
      <c r="AV294" s="524"/>
      <c r="AW294" s="335"/>
      <c r="AX294" s="28"/>
      <c r="AY294" s="10"/>
    </row>
    <row r="295" spans="1:51" ht="14.25">
      <c r="A295" s="40"/>
      <c r="B295" s="12"/>
      <c r="C295" s="12" t="s">
        <v>1771</v>
      </c>
      <c r="D295" s="455"/>
      <c r="E295" s="455"/>
      <c r="F295" s="455" t="s">
        <v>1694</v>
      </c>
      <c r="G295" s="41"/>
      <c r="H295" s="646"/>
      <c r="I295" s="477"/>
      <c r="J295" s="506"/>
      <c r="K295" s="507"/>
      <c r="L295" s="103"/>
      <c r="M295" s="458"/>
      <c r="N295" s="81"/>
      <c r="O295" s="483"/>
      <c r="P295" s="484"/>
      <c r="Q295" s="484"/>
      <c r="R295" s="484"/>
      <c r="S295" s="485"/>
      <c r="T295" s="486"/>
      <c r="U295" s="514"/>
      <c r="V295" s="514"/>
      <c r="W295" s="514"/>
      <c r="X295" s="514"/>
      <c r="Y295" s="514"/>
      <c r="Z295" s="514"/>
      <c r="AA295" s="514"/>
      <c r="AB295" s="514"/>
      <c r="AC295" s="514"/>
      <c r="AD295" s="514"/>
      <c r="AE295" s="514"/>
      <c r="AF295" s="514"/>
      <c r="AG295" s="514"/>
      <c r="AH295" s="514"/>
      <c r="AI295" s="514"/>
      <c r="AJ295" s="514"/>
      <c r="AK295" s="514"/>
      <c r="AL295" s="514"/>
      <c r="AM295" s="514"/>
      <c r="AN295" s="514"/>
      <c r="AO295" s="514"/>
      <c r="AP295" s="514"/>
      <c r="AQ295" s="514"/>
      <c r="AR295" s="514"/>
      <c r="AS295" s="514"/>
      <c r="AT295" s="515"/>
      <c r="AU295" s="523"/>
      <c r="AV295" s="516"/>
      <c r="AW295" s="515"/>
      <c r="AX295" s="28"/>
      <c r="AY295" s="10"/>
    </row>
    <row r="296" spans="1:51" ht="14.25">
      <c r="A296" s="40"/>
      <c r="B296" s="12"/>
      <c r="C296" s="12" t="s">
        <v>1771</v>
      </c>
      <c r="D296" s="455"/>
      <c r="E296" s="455"/>
      <c r="F296" s="455" t="s">
        <v>1694</v>
      </c>
      <c r="G296" s="41"/>
      <c r="H296" s="646"/>
      <c r="I296" s="482"/>
      <c r="J296" s="512"/>
      <c r="K296" s="513"/>
      <c r="L296" s="103"/>
      <c r="M296" s="458"/>
      <c r="N296" s="81"/>
      <c r="O296" s="483"/>
      <c r="P296" s="484"/>
      <c r="Q296" s="484"/>
      <c r="R296" s="484"/>
      <c r="S296" s="485"/>
      <c r="T296" s="486"/>
      <c r="U296" s="514"/>
      <c r="V296" s="514"/>
      <c r="W296" s="514"/>
      <c r="X296" s="514"/>
      <c r="Y296" s="514"/>
      <c r="Z296" s="514"/>
      <c r="AA296" s="514"/>
      <c r="AB296" s="514"/>
      <c r="AC296" s="514"/>
      <c r="AD296" s="514"/>
      <c r="AE296" s="514"/>
      <c r="AF296" s="514"/>
      <c r="AG296" s="514"/>
      <c r="AH296" s="514"/>
      <c r="AI296" s="514"/>
      <c r="AJ296" s="514"/>
      <c r="AK296" s="514"/>
      <c r="AL296" s="514"/>
      <c r="AM296" s="514"/>
      <c r="AN296" s="514"/>
      <c r="AO296" s="514"/>
      <c r="AP296" s="514"/>
      <c r="AQ296" s="514"/>
      <c r="AR296" s="514"/>
      <c r="AS296" s="514"/>
      <c r="AT296" s="515"/>
      <c r="AU296" s="523"/>
      <c r="AV296" s="516"/>
      <c r="AW296" s="515"/>
      <c r="AX296" s="28"/>
      <c r="AY296" s="10"/>
    </row>
    <row r="297" spans="1:51" ht="14.25">
      <c r="A297" s="40"/>
      <c r="B297" s="12"/>
      <c r="C297" s="12" t="s">
        <v>1771</v>
      </c>
      <c r="D297" s="455"/>
      <c r="E297" s="455"/>
      <c r="F297" s="455" t="s">
        <v>1694</v>
      </c>
      <c r="G297" s="41"/>
      <c r="H297" s="646"/>
      <c r="I297" s="482"/>
      <c r="J297" s="512"/>
      <c r="K297" s="513"/>
      <c r="L297" s="103"/>
      <c r="M297" s="458"/>
      <c r="N297" s="81"/>
      <c r="O297" s="483"/>
      <c r="P297" s="484"/>
      <c r="Q297" s="484"/>
      <c r="R297" s="484"/>
      <c r="S297" s="485"/>
      <c r="T297" s="486"/>
      <c r="U297" s="514"/>
      <c r="V297" s="514"/>
      <c r="W297" s="514"/>
      <c r="X297" s="514"/>
      <c r="Y297" s="514"/>
      <c r="Z297" s="514"/>
      <c r="AA297" s="514"/>
      <c r="AB297" s="514"/>
      <c r="AC297" s="514"/>
      <c r="AD297" s="514"/>
      <c r="AE297" s="514"/>
      <c r="AF297" s="514"/>
      <c r="AG297" s="514"/>
      <c r="AH297" s="514"/>
      <c r="AI297" s="514"/>
      <c r="AJ297" s="514"/>
      <c r="AK297" s="514"/>
      <c r="AL297" s="514"/>
      <c r="AM297" s="514"/>
      <c r="AN297" s="514"/>
      <c r="AO297" s="514"/>
      <c r="AP297" s="514"/>
      <c r="AQ297" s="514"/>
      <c r="AR297" s="514"/>
      <c r="AS297" s="514"/>
      <c r="AT297" s="515"/>
      <c r="AU297" s="523"/>
      <c r="AV297" s="516"/>
      <c r="AW297" s="515"/>
      <c r="AX297" s="28"/>
      <c r="AY297" s="10"/>
    </row>
    <row r="298" spans="1:51" ht="14.25">
      <c r="A298" s="40"/>
      <c r="B298" s="12"/>
      <c r="C298" s="12" t="s">
        <v>1771</v>
      </c>
      <c r="D298" s="455"/>
      <c r="E298" s="455"/>
      <c r="F298" s="455" t="s">
        <v>1694</v>
      </c>
      <c r="G298" s="41"/>
      <c r="H298" s="646"/>
      <c r="I298" s="482"/>
      <c r="J298" s="512"/>
      <c r="K298" s="513"/>
      <c r="L298" s="103"/>
      <c r="M298" s="458"/>
      <c r="N298" s="81"/>
      <c r="O298" s="483"/>
      <c r="P298" s="484"/>
      <c r="Q298" s="484"/>
      <c r="R298" s="484"/>
      <c r="S298" s="485"/>
      <c r="T298" s="486"/>
      <c r="U298" s="514"/>
      <c r="V298" s="514"/>
      <c r="W298" s="514"/>
      <c r="X298" s="514"/>
      <c r="Y298" s="514"/>
      <c r="Z298" s="514"/>
      <c r="AA298" s="514"/>
      <c r="AB298" s="514"/>
      <c r="AC298" s="514"/>
      <c r="AD298" s="514"/>
      <c r="AE298" s="514"/>
      <c r="AF298" s="514"/>
      <c r="AG298" s="514"/>
      <c r="AH298" s="514"/>
      <c r="AI298" s="514"/>
      <c r="AJ298" s="514"/>
      <c r="AK298" s="514"/>
      <c r="AL298" s="514"/>
      <c r="AM298" s="514"/>
      <c r="AN298" s="514"/>
      <c r="AO298" s="514"/>
      <c r="AP298" s="514"/>
      <c r="AQ298" s="514"/>
      <c r="AR298" s="514"/>
      <c r="AS298" s="514"/>
      <c r="AT298" s="515"/>
      <c r="AU298" s="523"/>
      <c r="AV298" s="516"/>
      <c r="AW298" s="515"/>
      <c r="AX298" s="28"/>
      <c r="AY298" s="10"/>
    </row>
    <row r="299" spans="1:51" ht="14.25">
      <c r="A299" s="40"/>
      <c r="B299" s="12"/>
      <c r="C299" s="12" t="s">
        <v>1771</v>
      </c>
      <c r="D299" s="455"/>
      <c r="E299" s="455"/>
      <c r="F299" s="455" t="s">
        <v>1694</v>
      </c>
      <c r="G299" s="41"/>
      <c r="H299" s="646"/>
      <c r="I299" s="482"/>
      <c r="J299" s="512"/>
      <c r="K299" s="513"/>
      <c r="L299" s="103"/>
      <c r="M299" s="458"/>
      <c r="N299" s="81"/>
      <c r="O299" s="483"/>
      <c r="P299" s="484"/>
      <c r="Q299" s="484"/>
      <c r="R299" s="484"/>
      <c r="S299" s="485"/>
      <c r="T299" s="486"/>
      <c r="U299" s="514"/>
      <c r="V299" s="514"/>
      <c r="W299" s="514"/>
      <c r="X299" s="514"/>
      <c r="Y299" s="514"/>
      <c r="Z299" s="514"/>
      <c r="AA299" s="514"/>
      <c r="AB299" s="514"/>
      <c r="AC299" s="514"/>
      <c r="AD299" s="514"/>
      <c r="AE299" s="514"/>
      <c r="AF299" s="514"/>
      <c r="AG299" s="514"/>
      <c r="AH299" s="514"/>
      <c r="AI299" s="514"/>
      <c r="AJ299" s="514"/>
      <c r="AK299" s="514"/>
      <c r="AL299" s="514"/>
      <c r="AM299" s="514"/>
      <c r="AN299" s="514"/>
      <c r="AO299" s="514"/>
      <c r="AP299" s="514"/>
      <c r="AQ299" s="514"/>
      <c r="AR299" s="514"/>
      <c r="AS299" s="514"/>
      <c r="AT299" s="515"/>
      <c r="AU299" s="523"/>
      <c r="AV299" s="516"/>
      <c r="AW299" s="515"/>
      <c r="AX299" s="28"/>
      <c r="AY299" s="10"/>
    </row>
    <row r="300" spans="1:51" ht="14.25">
      <c r="A300" s="45"/>
      <c r="B300" s="46"/>
      <c r="C300" s="46" t="s">
        <v>1771</v>
      </c>
      <c r="D300" s="476"/>
      <c r="E300" s="476"/>
      <c r="F300" s="476" t="s">
        <v>1694</v>
      </c>
      <c r="G300" s="47"/>
      <c r="H300" s="646"/>
      <c r="I300" s="489"/>
      <c r="J300" s="517"/>
      <c r="K300" s="518"/>
      <c r="L300" s="103"/>
      <c r="M300" s="464"/>
      <c r="N300" s="81"/>
      <c r="O300" s="498"/>
      <c r="P300" s="499"/>
      <c r="Q300" s="499"/>
      <c r="R300" s="499"/>
      <c r="S300" s="500"/>
      <c r="T300" s="503"/>
      <c r="U300" s="519"/>
      <c r="V300" s="519"/>
      <c r="W300" s="519"/>
      <c r="X300" s="519"/>
      <c r="Y300" s="519"/>
      <c r="Z300" s="519"/>
      <c r="AA300" s="519"/>
      <c r="AB300" s="519"/>
      <c r="AC300" s="519"/>
      <c r="AD300" s="519"/>
      <c r="AE300" s="519"/>
      <c r="AF300" s="519"/>
      <c r="AG300" s="519"/>
      <c r="AH300" s="519"/>
      <c r="AI300" s="519"/>
      <c r="AJ300" s="519"/>
      <c r="AK300" s="519"/>
      <c r="AL300" s="519"/>
      <c r="AM300" s="519"/>
      <c r="AN300" s="519"/>
      <c r="AO300" s="519"/>
      <c r="AP300" s="519"/>
      <c r="AQ300" s="519"/>
      <c r="AR300" s="519"/>
      <c r="AS300" s="519"/>
      <c r="AT300" s="520"/>
      <c r="AU300" s="523"/>
      <c r="AV300" s="521"/>
      <c r="AW300" s="520"/>
      <c r="AX300" s="28"/>
      <c r="AY300" s="10"/>
    </row>
    <row r="301" spans="1:51" ht="14.25">
      <c r="A301" s="92"/>
      <c r="B301" s="92"/>
      <c r="C301" s="92"/>
      <c r="D301" s="91"/>
      <c r="E301" s="91"/>
      <c r="F301" s="91"/>
      <c r="G301" s="159"/>
      <c r="H301" s="647"/>
      <c r="I301" s="490"/>
      <c r="J301" s="469" t="s">
        <v>1799</v>
      </c>
      <c r="K301" s="525"/>
      <c r="L301" s="103"/>
      <c r="M301" s="471"/>
      <c r="N301" s="81"/>
      <c r="O301" s="472">
        <f t="shared" ref="O301:AW301" si="12">SUM(O258:O300)</f>
        <v>0</v>
      </c>
      <c r="P301" s="473">
        <f t="shared" si="12"/>
        <v>0</v>
      </c>
      <c r="Q301" s="473">
        <f t="shared" si="12"/>
        <v>0</v>
      </c>
      <c r="R301" s="473">
        <f t="shared" si="12"/>
        <v>0</v>
      </c>
      <c r="S301" s="474">
        <f t="shared" si="12"/>
        <v>0</v>
      </c>
      <c r="T301" s="472">
        <f t="shared" si="12"/>
        <v>0</v>
      </c>
      <c r="U301" s="473">
        <f t="shared" si="12"/>
        <v>0</v>
      </c>
      <c r="V301" s="473">
        <f t="shared" si="12"/>
        <v>0</v>
      </c>
      <c r="W301" s="473">
        <f t="shared" si="12"/>
        <v>0</v>
      </c>
      <c r="X301" s="473">
        <f t="shared" si="12"/>
        <v>0</v>
      </c>
      <c r="Y301" s="473">
        <f t="shared" si="12"/>
        <v>0</v>
      </c>
      <c r="Z301" s="473">
        <f t="shared" si="12"/>
        <v>0</v>
      </c>
      <c r="AA301" s="473">
        <f t="shared" si="12"/>
        <v>0</v>
      </c>
      <c r="AB301" s="473">
        <f t="shared" si="12"/>
        <v>0</v>
      </c>
      <c r="AC301" s="473">
        <f t="shared" si="12"/>
        <v>0</v>
      </c>
      <c r="AD301" s="473">
        <f t="shared" si="12"/>
        <v>0</v>
      </c>
      <c r="AE301" s="473">
        <f t="shared" si="12"/>
        <v>0</v>
      </c>
      <c r="AF301" s="473">
        <f t="shared" si="12"/>
        <v>0</v>
      </c>
      <c r="AG301" s="473">
        <f t="shared" si="12"/>
        <v>0</v>
      </c>
      <c r="AH301" s="473">
        <f t="shared" si="12"/>
        <v>0</v>
      </c>
      <c r="AI301" s="473">
        <f t="shared" si="12"/>
        <v>0</v>
      </c>
      <c r="AJ301" s="473">
        <f t="shared" si="12"/>
        <v>0</v>
      </c>
      <c r="AK301" s="473">
        <f t="shared" si="12"/>
        <v>0</v>
      </c>
      <c r="AL301" s="473">
        <f t="shared" si="12"/>
        <v>0</v>
      </c>
      <c r="AM301" s="473">
        <f t="shared" si="12"/>
        <v>0</v>
      </c>
      <c r="AN301" s="473">
        <f t="shared" si="12"/>
        <v>0</v>
      </c>
      <c r="AO301" s="473">
        <f t="shared" si="12"/>
        <v>0</v>
      </c>
      <c r="AP301" s="473">
        <f t="shared" si="12"/>
        <v>0</v>
      </c>
      <c r="AQ301" s="473">
        <f t="shared" si="12"/>
        <v>0</v>
      </c>
      <c r="AR301" s="473">
        <f t="shared" si="12"/>
        <v>0</v>
      </c>
      <c r="AS301" s="473">
        <f t="shared" si="12"/>
        <v>0</v>
      </c>
      <c r="AT301" s="474">
        <f t="shared" si="12"/>
        <v>0</v>
      </c>
      <c r="AU301" s="528"/>
      <c r="AV301" s="472">
        <f t="shared" si="12"/>
        <v>0</v>
      </c>
      <c r="AW301" s="474">
        <f t="shared" si="12"/>
        <v>0</v>
      </c>
      <c r="AX301" s="28"/>
      <c r="AY301" s="10"/>
    </row>
    <row r="302" spans="1:51" ht="14.25">
      <c r="A302" s="77"/>
      <c r="B302" s="77"/>
      <c r="C302" s="77"/>
      <c r="D302" s="78"/>
      <c r="E302" s="78"/>
      <c r="F302" s="78"/>
      <c r="G302" s="77"/>
      <c r="H302" s="90"/>
      <c r="I302" s="90"/>
      <c r="J302" s="344"/>
      <c r="K302" s="344"/>
      <c r="L302" s="98"/>
      <c r="M302" s="240"/>
      <c r="N302" s="10"/>
      <c r="O302" s="346"/>
      <c r="P302" s="346"/>
      <c r="Q302" s="346"/>
      <c r="R302" s="346"/>
      <c r="S302" s="346"/>
      <c r="T302" s="346"/>
      <c r="U302" s="240"/>
      <c r="V302" s="240"/>
      <c r="W302" s="240"/>
      <c r="X302" s="240"/>
      <c r="Y302" s="240"/>
      <c r="Z302" s="240"/>
      <c r="AA302" s="240"/>
      <c r="AB302" s="240"/>
      <c r="AC302" s="240"/>
      <c r="AD302" s="240"/>
      <c r="AE302" s="240"/>
      <c r="AF302" s="240"/>
      <c r="AG302" s="240"/>
      <c r="AH302" s="240"/>
      <c r="AI302" s="240"/>
      <c r="AJ302" s="240"/>
      <c r="AK302" s="240"/>
      <c r="AL302" s="240"/>
      <c r="AM302" s="240"/>
      <c r="AN302" s="240"/>
      <c r="AO302" s="240"/>
      <c r="AP302" s="240"/>
      <c r="AQ302" s="240"/>
      <c r="AR302" s="240"/>
      <c r="AS302" s="240"/>
      <c r="AT302" s="240"/>
      <c r="AU302" s="529"/>
      <c r="AV302" s="240"/>
      <c r="AW302" s="240"/>
      <c r="AX302" s="10"/>
      <c r="AY302" s="10"/>
    </row>
    <row r="303" spans="1:51" ht="14.25">
      <c r="A303" s="36"/>
      <c r="B303" s="37"/>
      <c r="C303" s="37" t="s">
        <v>1800</v>
      </c>
      <c r="D303" s="446" t="s">
        <v>401</v>
      </c>
      <c r="E303" s="446"/>
      <c r="F303" s="446" t="s">
        <v>1726</v>
      </c>
      <c r="G303" s="447" t="s">
        <v>476</v>
      </c>
      <c r="H303" s="645" t="s">
        <v>1801</v>
      </c>
      <c r="I303" s="477"/>
      <c r="J303" s="448" t="s">
        <v>1802</v>
      </c>
      <c r="K303" s="449"/>
      <c r="L303" s="103"/>
      <c r="M303" s="450"/>
      <c r="N303" s="81"/>
      <c r="O303" s="478"/>
      <c r="P303" s="479"/>
      <c r="Q303" s="479"/>
      <c r="R303" s="479"/>
      <c r="S303" s="480"/>
      <c r="T303" s="508"/>
      <c r="U303" s="509"/>
      <c r="V303" s="509"/>
      <c r="W303" s="509"/>
      <c r="X303" s="509"/>
      <c r="Y303" s="509"/>
      <c r="Z303" s="509"/>
      <c r="AA303" s="509"/>
      <c r="AB303" s="509"/>
      <c r="AC303" s="509"/>
      <c r="AD303" s="509"/>
      <c r="AE303" s="509"/>
      <c r="AF303" s="509"/>
      <c r="AG303" s="509"/>
      <c r="AH303" s="509"/>
      <c r="AI303" s="509"/>
      <c r="AJ303" s="509"/>
      <c r="AK303" s="509"/>
      <c r="AL303" s="509"/>
      <c r="AM303" s="509"/>
      <c r="AN303" s="509"/>
      <c r="AO303" s="509"/>
      <c r="AP303" s="509"/>
      <c r="AQ303" s="509"/>
      <c r="AR303" s="509"/>
      <c r="AS303" s="509"/>
      <c r="AT303" s="510"/>
      <c r="AU303" s="523"/>
      <c r="AV303" s="511"/>
      <c r="AW303" s="510"/>
      <c r="AX303" s="28"/>
      <c r="AY303" s="10"/>
    </row>
    <row r="304" spans="1:51" ht="14.25">
      <c r="A304" s="40"/>
      <c r="B304" s="12"/>
      <c r="C304" s="12" t="s">
        <v>1800</v>
      </c>
      <c r="D304" s="455" t="s">
        <v>401</v>
      </c>
      <c r="E304" s="455"/>
      <c r="F304" s="455" t="s">
        <v>1726</v>
      </c>
      <c r="G304" s="41" t="s">
        <v>1724</v>
      </c>
      <c r="H304" s="646"/>
      <c r="I304" s="482"/>
      <c r="J304" s="456" t="s">
        <v>1803</v>
      </c>
      <c r="K304" s="457"/>
      <c r="L304" s="103"/>
      <c r="M304" s="458"/>
      <c r="N304" s="81"/>
      <c r="O304" s="483"/>
      <c r="P304" s="484"/>
      <c r="Q304" s="484"/>
      <c r="R304" s="484"/>
      <c r="S304" s="485"/>
      <c r="T304" s="486"/>
      <c r="U304" s="487"/>
      <c r="V304" s="487"/>
      <c r="W304" s="514"/>
      <c r="X304" s="514"/>
      <c r="Y304" s="514"/>
      <c r="Z304" s="514"/>
      <c r="AA304" s="514"/>
      <c r="AB304" s="514"/>
      <c r="AC304" s="514"/>
      <c r="AD304" s="514"/>
      <c r="AE304" s="514"/>
      <c r="AF304" s="514"/>
      <c r="AG304" s="514"/>
      <c r="AH304" s="514"/>
      <c r="AI304" s="514"/>
      <c r="AJ304" s="514"/>
      <c r="AK304" s="514"/>
      <c r="AL304" s="514"/>
      <c r="AM304" s="514"/>
      <c r="AN304" s="514"/>
      <c r="AO304" s="514"/>
      <c r="AP304" s="514"/>
      <c r="AQ304" s="487"/>
      <c r="AR304" s="514"/>
      <c r="AS304" s="514"/>
      <c r="AT304" s="488"/>
      <c r="AU304" s="523"/>
      <c r="AV304" s="516"/>
      <c r="AW304" s="488"/>
      <c r="AX304" s="28"/>
      <c r="AY304" s="10"/>
    </row>
    <row r="305" spans="1:51" ht="14.25">
      <c r="A305" s="40"/>
      <c r="B305" s="12"/>
      <c r="C305" s="12" t="s">
        <v>1800</v>
      </c>
      <c r="D305" s="455" t="s">
        <v>401</v>
      </c>
      <c r="E305" s="455"/>
      <c r="F305" s="455" t="s">
        <v>1721</v>
      </c>
      <c r="G305" s="41" t="s">
        <v>1722</v>
      </c>
      <c r="H305" s="646"/>
      <c r="I305" s="482"/>
      <c r="J305" s="456" t="s">
        <v>1804</v>
      </c>
      <c r="K305" s="457"/>
      <c r="L305" s="103"/>
      <c r="M305" s="458"/>
      <c r="N305" s="81"/>
      <c r="O305" s="483"/>
      <c r="P305" s="484"/>
      <c r="Q305" s="484"/>
      <c r="R305" s="484"/>
      <c r="S305" s="485"/>
      <c r="T305" s="486"/>
      <c r="U305" s="514"/>
      <c r="V305" s="514"/>
      <c r="W305" s="514"/>
      <c r="X305" s="514"/>
      <c r="Y305" s="514"/>
      <c r="Z305" s="514"/>
      <c r="AA305" s="514"/>
      <c r="AB305" s="514"/>
      <c r="AC305" s="514"/>
      <c r="AD305" s="514"/>
      <c r="AE305" s="514"/>
      <c r="AF305" s="514"/>
      <c r="AG305" s="514"/>
      <c r="AH305" s="514"/>
      <c r="AI305" s="514"/>
      <c r="AJ305" s="514"/>
      <c r="AK305" s="514"/>
      <c r="AL305" s="514"/>
      <c r="AM305" s="514"/>
      <c r="AN305" s="514"/>
      <c r="AO305" s="514"/>
      <c r="AP305" s="514"/>
      <c r="AQ305" s="514"/>
      <c r="AR305" s="514"/>
      <c r="AS305" s="514"/>
      <c r="AT305" s="515"/>
      <c r="AU305" s="523"/>
      <c r="AV305" s="516"/>
      <c r="AW305" s="515"/>
      <c r="AX305" s="28"/>
      <c r="AY305" s="10"/>
    </row>
    <row r="306" spans="1:51" ht="14.25">
      <c r="A306" s="40"/>
      <c r="B306" s="12"/>
      <c r="C306" s="12" t="s">
        <v>1800</v>
      </c>
      <c r="D306" s="455" t="s">
        <v>401</v>
      </c>
      <c r="E306" s="455"/>
      <c r="F306" s="455" t="s">
        <v>1721</v>
      </c>
      <c r="G306" s="41" t="s">
        <v>1724</v>
      </c>
      <c r="H306" s="646"/>
      <c r="I306" s="482"/>
      <c r="J306" s="456" t="s">
        <v>1805</v>
      </c>
      <c r="K306" s="457"/>
      <c r="L306" s="103"/>
      <c r="M306" s="458"/>
      <c r="N306" s="81"/>
      <c r="O306" s="483"/>
      <c r="P306" s="484"/>
      <c r="Q306" s="484"/>
      <c r="R306" s="484"/>
      <c r="S306" s="485"/>
      <c r="T306" s="486"/>
      <c r="U306" s="487"/>
      <c r="V306" s="487"/>
      <c r="W306" s="514"/>
      <c r="X306" s="514"/>
      <c r="Y306" s="514"/>
      <c r="Z306" s="514"/>
      <c r="AA306" s="514"/>
      <c r="AB306" s="514"/>
      <c r="AC306" s="514"/>
      <c r="AD306" s="514"/>
      <c r="AE306" s="514"/>
      <c r="AF306" s="514"/>
      <c r="AG306" s="514"/>
      <c r="AH306" s="514"/>
      <c r="AI306" s="514"/>
      <c r="AJ306" s="514"/>
      <c r="AK306" s="514"/>
      <c r="AL306" s="514"/>
      <c r="AM306" s="514"/>
      <c r="AN306" s="514"/>
      <c r="AO306" s="514"/>
      <c r="AP306" s="514"/>
      <c r="AQ306" s="487"/>
      <c r="AR306" s="514"/>
      <c r="AS306" s="514"/>
      <c r="AT306" s="488"/>
      <c r="AU306" s="523"/>
      <c r="AV306" s="516"/>
      <c r="AW306" s="488"/>
      <c r="AX306" s="28"/>
      <c r="AY306" s="10"/>
    </row>
    <row r="307" spans="1:51" ht="14.25">
      <c r="A307" s="40"/>
      <c r="B307" s="12"/>
      <c r="C307" s="12" t="s">
        <v>1800</v>
      </c>
      <c r="D307" s="455" t="s">
        <v>401</v>
      </c>
      <c r="E307" s="455"/>
      <c r="F307" s="455" t="s">
        <v>1806</v>
      </c>
      <c r="G307" s="41" t="s">
        <v>476</v>
      </c>
      <c r="H307" s="646"/>
      <c r="I307" s="482"/>
      <c r="J307" s="456" t="s">
        <v>1807</v>
      </c>
      <c r="K307" s="457"/>
      <c r="L307" s="103"/>
      <c r="M307" s="458"/>
      <c r="N307" s="81"/>
      <c r="O307" s="483"/>
      <c r="P307" s="484"/>
      <c r="Q307" s="484"/>
      <c r="R307" s="484"/>
      <c r="S307" s="485"/>
      <c r="T307" s="486"/>
      <c r="U307" s="514"/>
      <c r="V307" s="514"/>
      <c r="W307" s="514"/>
      <c r="X307" s="514"/>
      <c r="Y307" s="514"/>
      <c r="Z307" s="514"/>
      <c r="AA307" s="514"/>
      <c r="AB307" s="514"/>
      <c r="AC307" s="514"/>
      <c r="AD307" s="514"/>
      <c r="AE307" s="514"/>
      <c r="AF307" s="514"/>
      <c r="AG307" s="514"/>
      <c r="AH307" s="514"/>
      <c r="AI307" s="514"/>
      <c r="AJ307" s="514"/>
      <c r="AK307" s="514"/>
      <c r="AL307" s="514"/>
      <c r="AM307" s="514"/>
      <c r="AN307" s="514"/>
      <c r="AO307" s="514"/>
      <c r="AP307" s="514"/>
      <c r="AQ307" s="514"/>
      <c r="AR307" s="514"/>
      <c r="AS307" s="514"/>
      <c r="AT307" s="515"/>
      <c r="AU307" s="523"/>
      <c r="AV307" s="516"/>
      <c r="AW307" s="515"/>
      <c r="AX307" s="28"/>
      <c r="AY307" s="10"/>
    </row>
    <row r="308" spans="1:51" ht="14.25">
      <c r="A308" s="40"/>
      <c r="B308" s="12"/>
      <c r="C308" s="12" t="s">
        <v>1800</v>
      </c>
      <c r="D308" s="455" t="s">
        <v>401</v>
      </c>
      <c r="E308" s="455"/>
      <c r="F308" s="455" t="s">
        <v>1806</v>
      </c>
      <c r="G308" s="41" t="s">
        <v>1724</v>
      </c>
      <c r="H308" s="646"/>
      <c r="I308" s="482"/>
      <c r="J308" s="456" t="s">
        <v>1808</v>
      </c>
      <c r="K308" s="457"/>
      <c r="L308" s="103"/>
      <c r="M308" s="458"/>
      <c r="N308" s="81"/>
      <c r="O308" s="483"/>
      <c r="P308" s="484"/>
      <c r="Q308" s="484"/>
      <c r="R308" s="484"/>
      <c r="S308" s="485"/>
      <c r="T308" s="486"/>
      <c r="U308" s="487"/>
      <c r="V308" s="487"/>
      <c r="W308" s="514"/>
      <c r="X308" s="514"/>
      <c r="Y308" s="514"/>
      <c r="Z308" s="514"/>
      <c r="AA308" s="514"/>
      <c r="AB308" s="514"/>
      <c r="AC308" s="514"/>
      <c r="AD308" s="514"/>
      <c r="AE308" s="514"/>
      <c r="AF308" s="514"/>
      <c r="AG308" s="514"/>
      <c r="AH308" s="514"/>
      <c r="AI308" s="514"/>
      <c r="AJ308" s="514"/>
      <c r="AK308" s="514"/>
      <c r="AL308" s="514"/>
      <c r="AM308" s="514"/>
      <c r="AN308" s="514"/>
      <c r="AO308" s="514"/>
      <c r="AP308" s="514"/>
      <c r="AQ308" s="487"/>
      <c r="AR308" s="514"/>
      <c r="AS308" s="514"/>
      <c r="AT308" s="488"/>
      <c r="AU308" s="523"/>
      <c r="AV308" s="516"/>
      <c r="AW308" s="488"/>
      <c r="AX308" s="28"/>
      <c r="AY308" s="10"/>
    </row>
    <row r="309" spans="1:51" ht="14.25">
      <c r="A309" s="40"/>
      <c r="B309" s="12"/>
      <c r="C309" s="12" t="s">
        <v>1800</v>
      </c>
      <c r="D309" s="455" t="s">
        <v>401</v>
      </c>
      <c r="E309" s="455"/>
      <c r="F309" s="455" t="s">
        <v>1694</v>
      </c>
      <c r="G309" s="41" t="s">
        <v>1703</v>
      </c>
      <c r="H309" s="646"/>
      <c r="I309" s="482"/>
      <c r="J309" s="456" t="s">
        <v>342</v>
      </c>
      <c r="K309" s="457"/>
      <c r="L309" s="103"/>
      <c r="M309" s="458"/>
      <c r="N309" s="81"/>
      <c r="O309" s="483"/>
      <c r="P309" s="484"/>
      <c r="Q309" s="484"/>
      <c r="R309" s="484"/>
      <c r="S309" s="485"/>
      <c r="T309" s="486"/>
      <c r="U309" s="514"/>
      <c r="V309" s="514"/>
      <c r="W309" s="514"/>
      <c r="X309" s="514"/>
      <c r="Y309" s="514"/>
      <c r="Z309" s="514"/>
      <c r="AA309" s="514"/>
      <c r="AB309" s="514"/>
      <c r="AC309" s="514"/>
      <c r="AD309" s="514"/>
      <c r="AE309" s="514"/>
      <c r="AF309" s="514"/>
      <c r="AG309" s="514"/>
      <c r="AH309" s="514"/>
      <c r="AI309" s="514"/>
      <c r="AJ309" s="514"/>
      <c r="AK309" s="514"/>
      <c r="AL309" s="514"/>
      <c r="AM309" s="514"/>
      <c r="AN309" s="514"/>
      <c r="AO309" s="514"/>
      <c r="AP309" s="514"/>
      <c r="AQ309" s="514"/>
      <c r="AR309" s="514"/>
      <c r="AS309" s="514"/>
      <c r="AT309" s="515"/>
      <c r="AU309" s="523"/>
      <c r="AV309" s="516"/>
      <c r="AW309" s="515"/>
      <c r="AX309" s="28"/>
      <c r="AY309" s="10"/>
    </row>
    <row r="310" spans="1:51" ht="14.25">
      <c r="A310" s="40"/>
      <c r="B310" s="12"/>
      <c r="C310" s="12" t="s">
        <v>1800</v>
      </c>
      <c r="D310" s="455" t="s">
        <v>401</v>
      </c>
      <c r="E310" s="455"/>
      <c r="F310" s="455" t="s">
        <v>1694</v>
      </c>
      <c r="G310" s="41" t="s">
        <v>1809</v>
      </c>
      <c r="H310" s="646"/>
      <c r="I310" s="482"/>
      <c r="J310" s="456" t="s">
        <v>1810</v>
      </c>
      <c r="K310" s="457"/>
      <c r="L310" s="103"/>
      <c r="M310" s="458"/>
      <c r="N310" s="81"/>
      <c r="O310" s="483"/>
      <c r="P310" s="484"/>
      <c r="Q310" s="484"/>
      <c r="R310" s="484"/>
      <c r="S310" s="485"/>
      <c r="T310" s="486"/>
      <c r="U310" s="514"/>
      <c r="V310" s="514"/>
      <c r="W310" s="514"/>
      <c r="X310" s="514"/>
      <c r="Y310" s="514"/>
      <c r="Z310" s="514"/>
      <c r="AA310" s="514"/>
      <c r="AB310" s="514"/>
      <c r="AC310" s="514"/>
      <c r="AD310" s="514"/>
      <c r="AE310" s="514"/>
      <c r="AF310" s="514"/>
      <c r="AG310" s="514"/>
      <c r="AH310" s="514"/>
      <c r="AI310" s="514"/>
      <c r="AJ310" s="514"/>
      <c r="AK310" s="514"/>
      <c r="AL310" s="514"/>
      <c r="AM310" s="514"/>
      <c r="AN310" s="514"/>
      <c r="AO310" s="514"/>
      <c r="AP310" s="514"/>
      <c r="AQ310" s="514"/>
      <c r="AR310" s="514"/>
      <c r="AS310" s="514"/>
      <c r="AT310" s="515"/>
      <c r="AU310" s="523"/>
      <c r="AV310" s="516"/>
      <c r="AW310" s="515"/>
      <c r="AX310" s="28"/>
      <c r="AY310" s="10"/>
    </row>
    <row r="311" spans="1:51" ht="14.25">
      <c r="A311" s="40"/>
      <c r="B311" s="12"/>
      <c r="C311" s="12" t="s">
        <v>1800</v>
      </c>
      <c r="D311" s="455" t="s">
        <v>401</v>
      </c>
      <c r="E311" s="455"/>
      <c r="F311" s="455" t="s">
        <v>1694</v>
      </c>
      <c r="G311" s="41" t="s">
        <v>1811</v>
      </c>
      <c r="H311" s="646"/>
      <c r="I311" s="482"/>
      <c r="J311" s="456" t="s">
        <v>1812</v>
      </c>
      <c r="K311" s="457"/>
      <c r="L311" s="103"/>
      <c r="M311" s="458"/>
      <c r="N311" s="81"/>
      <c r="O311" s="483"/>
      <c r="P311" s="484"/>
      <c r="Q311" s="484"/>
      <c r="R311" s="484"/>
      <c r="S311" s="485"/>
      <c r="T311" s="486"/>
      <c r="U311" s="514"/>
      <c r="V311" s="514"/>
      <c r="W311" s="514"/>
      <c r="X311" s="514"/>
      <c r="Y311" s="514"/>
      <c r="Z311" s="514"/>
      <c r="AA311" s="514"/>
      <c r="AB311" s="514"/>
      <c r="AC311" s="514"/>
      <c r="AD311" s="514"/>
      <c r="AE311" s="514"/>
      <c r="AF311" s="514"/>
      <c r="AG311" s="514"/>
      <c r="AH311" s="514"/>
      <c r="AI311" s="514"/>
      <c r="AJ311" s="514"/>
      <c r="AK311" s="514"/>
      <c r="AL311" s="514"/>
      <c r="AM311" s="514"/>
      <c r="AN311" s="514"/>
      <c r="AO311" s="514"/>
      <c r="AP311" s="514"/>
      <c r="AQ311" s="514"/>
      <c r="AR311" s="514"/>
      <c r="AS311" s="514"/>
      <c r="AT311" s="515"/>
      <c r="AU311" s="523"/>
      <c r="AV311" s="516"/>
      <c r="AW311" s="515"/>
      <c r="AX311" s="28"/>
      <c r="AY311" s="10"/>
    </row>
    <row r="312" spans="1:51" ht="14.25">
      <c r="A312" s="40"/>
      <c r="B312" s="12"/>
      <c r="C312" s="12" t="s">
        <v>1800</v>
      </c>
      <c r="D312" s="455" t="s">
        <v>401</v>
      </c>
      <c r="E312" s="455"/>
      <c r="F312" s="455" t="s">
        <v>1694</v>
      </c>
      <c r="G312" s="41" t="s">
        <v>1729</v>
      </c>
      <c r="H312" s="646"/>
      <c r="I312" s="482"/>
      <c r="J312" s="456" t="s">
        <v>1730</v>
      </c>
      <c r="K312" s="457"/>
      <c r="L312" s="103"/>
      <c r="M312" s="458"/>
      <c r="N312" s="81"/>
      <c r="O312" s="483"/>
      <c r="P312" s="484"/>
      <c r="Q312" s="484"/>
      <c r="R312" s="484"/>
      <c r="S312" s="485"/>
      <c r="T312" s="486"/>
      <c r="U312" s="514"/>
      <c r="V312" s="514"/>
      <c r="W312" s="514"/>
      <c r="X312" s="514"/>
      <c r="Y312" s="514"/>
      <c r="Z312" s="514"/>
      <c r="AA312" s="514"/>
      <c r="AB312" s="514"/>
      <c r="AC312" s="514"/>
      <c r="AD312" s="514"/>
      <c r="AE312" s="514"/>
      <c r="AF312" s="514"/>
      <c r="AG312" s="514"/>
      <c r="AH312" s="514"/>
      <c r="AI312" s="514"/>
      <c r="AJ312" s="514"/>
      <c r="AK312" s="514"/>
      <c r="AL312" s="514"/>
      <c r="AM312" s="514"/>
      <c r="AN312" s="514"/>
      <c r="AO312" s="514"/>
      <c r="AP312" s="514"/>
      <c r="AQ312" s="514"/>
      <c r="AR312" s="514"/>
      <c r="AS312" s="514"/>
      <c r="AT312" s="515"/>
      <c r="AU312" s="523"/>
      <c r="AV312" s="516"/>
      <c r="AW312" s="515"/>
      <c r="AX312" s="28"/>
      <c r="AY312" s="10"/>
    </row>
    <row r="313" spans="1:51" ht="14.25">
      <c r="A313" s="40"/>
      <c r="B313" s="12"/>
      <c r="C313" s="12" t="s">
        <v>1800</v>
      </c>
      <c r="D313" s="455" t="s">
        <v>401</v>
      </c>
      <c r="E313" s="455"/>
      <c r="F313" s="455" t="s">
        <v>1694</v>
      </c>
      <c r="G313" s="41" t="s">
        <v>1731</v>
      </c>
      <c r="H313" s="646"/>
      <c r="I313" s="482"/>
      <c r="J313" s="456" t="s">
        <v>1732</v>
      </c>
      <c r="K313" s="457"/>
      <c r="L313" s="103"/>
      <c r="M313" s="458"/>
      <c r="N313" s="81"/>
      <c r="O313" s="483"/>
      <c r="P313" s="484"/>
      <c r="Q313" s="484"/>
      <c r="R313" s="484"/>
      <c r="S313" s="485"/>
      <c r="T313" s="486"/>
      <c r="U313" s="514"/>
      <c r="V313" s="514"/>
      <c r="W313" s="514"/>
      <c r="X313" s="514"/>
      <c r="Y313" s="514"/>
      <c r="Z313" s="514"/>
      <c r="AA313" s="514"/>
      <c r="AB313" s="514"/>
      <c r="AC313" s="514"/>
      <c r="AD313" s="514"/>
      <c r="AE313" s="514"/>
      <c r="AF313" s="514"/>
      <c r="AG313" s="514"/>
      <c r="AH313" s="514"/>
      <c r="AI313" s="514"/>
      <c r="AJ313" s="514"/>
      <c r="AK313" s="514"/>
      <c r="AL313" s="514"/>
      <c r="AM313" s="514"/>
      <c r="AN313" s="514"/>
      <c r="AO313" s="514"/>
      <c r="AP313" s="514"/>
      <c r="AQ313" s="514"/>
      <c r="AR313" s="514"/>
      <c r="AS313" s="514"/>
      <c r="AT313" s="515"/>
      <c r="AU313" s="523"/>
      <c r="AV313" s="516"/>
      <c r="AW313" s="515"/>
      <c r="AX313" s="28"/>
      <c r="AY313" s="10"/>
    </row>
    <row r="314" spans="1:51" ht="14.25">
      <c r="A314" s="40"/>
      <c r="B314" s="12"/>
      <c r="C314" s="12" t="s">
        <v>1800</v>
      </c>
      <c r="D314" s="455" t="s">
        <v>401</v>
      </c>
      <c r="E314" s="455"/>
      <c r="F314" s="455" t="s">
        <v>1694</v>
      </c>
      <c r="G314" s="41" t="s">
        <v>1705</v>
      </c>
      <c r="H314" s="646"/>
      <c r="I314" s="482"/>
      <c r="J314" s="456" t="s">
        <v>344</v>
      </c>
      <c r="K314" s="457"/>
      <c r="L314" s="103"/>
      <c r="M314" s="458"/>
      <c r="N314" s="81"/>
      <c r="O314" s="483"/>
      <c r="P314" s="484"/>
      <c r="Q314" s="484"/>
      <c r="R314" s="484"/>
      <c r="S314" s="485"/>
      <c r="T314" s="486"/>
      <c r="U314" s="514"/>
      <c r="V314" s="514"/>
      <c r="W314" s="514"/>
      <c r="X314" s="514"/>
      <c r="Y314" s="514"/>
      <c r="Z314" s="514"/>
      <c r="AA314" s="514"/>
      <c r="AB314" s="514"/>
      <c r="AC314" s="514"/>
      <c r="AD314" s="514"/>
      <c r="AE314" s="514"/>
      <c r="AF314" s="514"/>
      <c r="AG314" s="514"/>
      <c r="AH314" s="514"/>
      <c r="AI314" s="514"/>
      <c r="AJ314" s="514"/>
      <c r="AK314" s="514"/>
      <c r="AL314" s="514"/>
      <c r="AM314" s="514"/>
      <c r="AN314" s="514"/>
      <c r="AO314" s="514"/>
      <c r="AP314" s="514"/>
      <c r="AQ314" s="514"/>
      <c r="AR314" s="514"/>
      <c r="AS314" s="514"/>
      <c r="AT314" s="515"/>
      <c r="AU314" s="523"/>
      <c r="AV314" s="516"/>
      <c r="AW314" s="515"/>
      <c r="AX314" s="28"/>
      <c r="AY314" s="10"/>
    </row>
    <row r="315" spans="1:51" ht="14.25">
      <c r="A315" s="40"/>
      <c r="B315" s="12"/>
      <c r="C315" s="12" t="s">
        <v>1800</v>
      </c>
      <c r="D315" s="455" t="s">
        <v>401</v>
      </c>
      <c r="E315" s="455"/>
      <c r="F315" s="455" t="s">
        <v>1694</v>
      </c>
      <c r="G315" s="41" t="s">
        <v>638</v>
      </c>
      <c r="H315" s="646"/>
      <c r="I315" s="482"/>
      <c r="J315" s="456" t="s">
        <v>336</v>
      </c>
      <c r="K315" s="457"/>
      <c r="L315" s="103"/>
      <c r="M315" s="458"/>
      <c r="N315" s="81"/>
      <c r="O315" s="483"/>
      <c r="P315" s="484"/>
      <c r="Q315" s="484"/>
      <c r="R315" s="484"/>
      <c r="S315" s="485"/>
      <c r="T315" s="486"/>
      <c r="U315" s="514"/>
      <c r="V315" s="514"/>
      <c r="W315" s="514"/>
      <c r="X315" s="514"/>
      <c r="Y315" s="514"/>
      <c r="Z315" s="514"/>
      <c r="AA315" s="514"/>
      <c r="AB315" s="514"/>
      <c r="AC315" s="514"/>
      <c r="AD315" s="514"/>
      <c r="AE315" s="514"/>
      <c r="AF315" s="514"/>
      <c r="AG315" s="514"/>
      <c r="AH315" s="514"/>
      <c r="AI315" s="514"/>
      <c r="AJ315" s="514"/>
      <c r="AK315" s="514"/>
      <c r="AL315" s="514"/>
      <c r="AM315" s="514"/>
      <c r="AN315" s="514"/>
      <c r="AO315" s="514"/>
      <c r="AP315" s="514"/>
      <c r="AQ315" s="514"/>
      <c r="AR315" s="514"/>
      <c r="AS315" s="514"/>
      <c r="AT315" s="515"/>
      <c r="AU315" s="523"/>
      <c r="AV315" s="516"/>
      <c r="AW315" s="515"/>
      <c r="AX315" s="28"/>
      <c r="AY315" s="10"/>
    </row>
    <row r="316" spans="1:51" ht="14.25">
      <c r="A316" s="40"/>
      <c r="B316" s="12"/>
      <c r="C316" s="12" t="s">
        <v>1800</v>
      </c>
      <c r="D316" s="455" t="s">
        <v>401</v>
      </c>
      <c r="E316" s="455"/>
      <c r="F316" s="455" t="s">
        <v>1694</v>
      </c>
      <c r="G316" s="41" t="s">
        <v>1698</v>
      </c>
      <c r="H316" s="646"/>
      <c r="I316" s="482"/>
      <c r="J316" s="456" t="s">
        <v>338</v>
      </c>
      <c r="K316" s="457"/>
      <c r="L316" s="103"/>
      <c r="M316" s="458"/>
      <c r="N316" s="81"/>
      <c r="O316" s="483"/>
      <c r="P316" s="484"/>
      <c r="Q316" s="484"/>
      <c r="R316" s="484"/>
      <c r="S316" s="485"/>
      <c r="T316" s="486"/>
      <c r="U316" s="514"/>
      <c r="V316" s="514"/>
      <c r="W316" s="514"/>
      <c r="X316" s="514"/>
      <c r="Y316" s="514"/>
      <c r="Z316" s="514"/>
      <c r="AA316" s="514"/>
      <c r="AB316" s="514"/>
      <c r="AC316" s="514"/>
      <c r="AD316" s="514"/>
      <c r="AE316" s="514"/>
      <c r="AF316" s="514"/>
      <c r="AG316" s="514"/>
      <c r="AH316" s="514"/>
      <c r="AI316" s="514"/>
      <c r="AJ316" s="514"/>
      <c r="AK316" s="514"/>
      <c r="AL316" s="514"/>
      <c r="AM316" s="514"/>
      <c r="AN316" s="514"/>
      <c r="AO316" s="514"/>
      <c r="AP316" s="514"/>
      <c r="AQ316" s="514"/>
      <c r="AR316" s="514"/>
      <c r="AS316" s="514"/>
      <c r="AT316" s="515"/>
      <c r="AU316" s="523"/>
      <c r="AV316" s="516"/>
      <c r="AW316" s="515"/>
      <c r="AX316" s="28"/>
      <c r="AY316" s="10"/>
    </row>
    <row r="317" spans="1:51" ht="14.25">
      <c r="A317" s="40"/>
      <c r="B317" s="12"/>
      <c r="C317" s="12" t="s">
        <v>1800</v>
      </c>
      <c r="D317" s="455" t="s">
        <v>401</v>
      </c>
      <c r="E317" s="455"/>
      <c r="F317" s="455" t="s">
        <v>1694</v>
      </c>
      <c r="G317" s="41" t="s">
        <v>1706</v>
      </c>
      <c r="H317" s="646"/>
      <c r="I317" s="482"/>
      <c r="J317" s="456" t="s">
        <v>1707</v>
      </c>
      <c r="K317" s="457"/>
      <c r="L317" s="103"/>
      <c r="M317" s="458"/>
      <c r="N317" s="81"/>
      <c r="O317" s="483"/>
      <c r="P317" s="484"/>
      <c r="Q317" s="484"/>
      <c r="R317" s="484"/>
      <c r="S317" s="485"/>
      <c r="T317" s="486"/>
      <c r="U317" s="514"/>
      <c r="V317" s="514"/>
      <c r="W317" s="514"/>
      <c r="X317" s="514"/>
      <c r="Y317" s="514"/>
      <c r="Z317" s="514"/>
      <c r="AA317" s="514"/>
      <c r="AB317" s="514"/>
      <c r="AC317" s="514"/>
      <c r="AD317" s="514"/>
      <c r="AE317" s="514"/>
      <c r="AF317" s="514"/>
      <c r="AG317" s="514"/>
      <c r="AH317" s="514"/>
      <c r="AI317" s="514"/>
      <c r="AJ317" s="514"/>
      <c r="AK317" s="514"/>
      <c r="AL317" s="514"/>
      <c r="AM317" s="514"/>
      <c r="AN317" s="514"/>
      <c r="AO317" s="514"/>
      <c r="AP317" s="514"/>
      <c r="AQ317" s="514"/>
      <c r="AR317" s="514"/>
      <c r="AS317" s="514"/>
      <c r="AT317" s="515"/>
      <c r="AU317" s="523"/>
      <c r="AV317" s="516"/>
      <c r="AW317" s="515"/>
      <c r="AX317" s="28"/>
      <c r="AY317" s="10"/>
    </row>
    <row r="318" spans="1:51" ht="14.25">
      <c r="A318" s="45"/>
      <c r="B318" s="46"/>
      <c r="C318" s="46" t="s">
        <v>1800</v>
      </c>
      <c r="D318" s="476" t="s">
        <v>401</v>
      </c>
      <c r="E318" s="476"/>
      <c r="F318" s="476" t="s">
        <v>1694</v>
      </c>
      <c r="G318" s="47" t="s">
        <v>1700</v>
      </c>
      <c r="H318" s="646"/>
      <c r="I318" s="489"/>
      <c r="J318" s="462" t="s">
        <v>339</v>
      </c>
      <c r="K318" s="463"/>
      <c r="L318" s="103"/>
      <c r="M318" s="458"/>
      <c r="N318" s="81"/>
      <c r="O318" s="483"/>
      <c r="P318" s="484"/>
      <c r="Q318" s="484"/>
      <c r="R318" s="484"/>
      <c r="S318" s="485"/>
      <c r="T318" s="486"/>
      <c r="U318" s="514"/>
      <c r="V318" s="514"/>
      <c r="W318" s="514"/>
      <c r="X318" s="514"/>
      <c r="Y318" s="514"/>
      <c r="Z318" s="514"/>
      <c r="AA318" s="514"/>
      <c r="AB318" s="514"/>
      <c r="AC318" s="514"/>
      <c r="AD318" s="514"/>
      <c r="AE318" s="514"/>
      <c r="AF318" s="514"/>
      <c r="AG318" s="514"/>
      <c r="AH318" s="514"/>
      <c r="AI318" s="514"/>
      <c r="AJ318" s="514"/>
      <c r="AK318" s="514"/>
      <c r="AL318" s="514"/>
      <c r="AM318" s="514"/>
      <c r="AN318" s="514"/>
      <c r="AO318" s="514"/>
      <c r="AP318" s="514"/>
      <c r="AQ318" s="514"/>
      <c r="AR318" s="514"/>
      <c r="AS318" s="514"/>
      <c r="AT318" s="515"/>
      <c r="AU318" s="523"/>
      <c r="AV318" s="516"/>
      <c r="AW318" s="515"/>
      <c r="AX318" s="28"/>
      <c r="AY318" s="10"/>
    </row>
    <row r="319" spans="1:51" ht="14.25">
      <c r="A319" s="36"/>
      <c r="B319" s="37"/>
      <c r="C319" s="37" t="s">
        <v>1800</v>
      </c>
      <c r="D319" s="446" t="s">
        <v>401</v>
      </c>
      <c r="E319" s="446"/>
      <c r="F319" s="446" t="s">
        <v>1726</v>
      </c>
      <c r="G319" s="447" t="s">
        <v>476</v>
      </c>
      <c r="H319" s="646"/>
      <c r="I319" s="477"/>
      <c r="J319" s="448" t="s">
        <v>1802</v>
      </c>
      <c r="K319" s="449"/>
      <c r="L319" s="103"/>
      <c r="M319" s="458"/>
      <c r="N319" s="81"/>
      <c r="O319" s="483"/>
      <c r="P319" s="484"/>
      <c r="Q319" s="484"/>
      <c r="R319" s="484"/>
      <c r="S319" s="485"/>
      <c r="T319" s="486"/>
      <c r="U319" s="514"/>
      <c r="V319" s="514"/>
      <c r="W319" s="514"/>
      <c r="X319" s="514"/>
      <c r="Y319" s="514"/>
      <c r="Z319" s="514"/>
      <c r="AA319" s="514"/>
      <c r="AB319" s="514"/>
      <c r="AC319" s="514"/>
      <c r="AD319" s="514"/>
      <c r="AE319" s="514"/>
      <c r="AF319" s="514"/>
      <c r="AG319" s="514"/>
      <c r="AH319" s="514"/>
      <c r="AI319" s="514"/>
      <c r="AJ319" s="514"/>
      <c r="AK319" s="514"/>
      <c r="AL319" s="514"/>
      <c r="AM319" s="514"/>
      <c r="AN319" s="514"/>
      <c r="AO319" s="514"/>
      <c r="AP319" s="514"/>
      <c r="AQ319" s="514"/>
      <c r="AR319" s="514"/>
      <c r="AS319" s="514"/>
      <c r="AT319" s="515"/>
      <c r="AU319" s="523"/>
      <c r="AV319" s="516"/>
      <c r="AW319" s="515"/>
      <c r="AX319" s="28"/>
      <c r="AY319" s="10"/>
    </row>
    <row r="320" spans="1:51" ht="14.25">
      <c r="A320" s="40"/>
      <c r="B320" s="12"/>
      <c r="C320" s="12" t="s">
        <v>1800</v>
      </c>
      <c r="D320" s="455" t="s">
        <v>401</v>
      </c>
      <c r="E320" s="455"/>
      <c r="F320" s="455" t="s">
        <v>1726</v>
      </c>
      <c r="G320" s="41" t="s">
        <v>1724</v>
      </c>
      <c r="H320" s="646"/>
      <c r="I320" s="482"/>
      <c r="J320" s="456" t="s">
        <v>1803</v>
      </c>
      <c r="K320" s="457"/>
      <c r="L320" s="103"/>
      <c r="M320" s="458"/>
      <c r="N320" s="81"/>
      <c r="O320" s="483"/>
      <c r="P320" s="484"/>
      <c r="Q320" s="484"/>
      <c r="R320" s="484"/>
      <c r="S320" s="485"/>
      <c r="T320" s="486"/>
      <c r="U320" s="487"/>
      <c r="V320" s="487"/>
      <c r="W320" s="514"/>
      <c r="X320" s="514"/>
      <c r="Y320" s="514"/>
      <c r="Z320" s="514"/>
      <c r="AA320" s="514"/>
      <c r="AB320" s="514"/>
      <c r="AC320" s="514"/>
      <c r="AD320" s="514"/>
      <c r="AE320" s="514"/>
      <c r="AF320" s="514"/>
      <c r="AG320" s="514"/>
      <c r="AH320" s="514"/>
      <c r="AI320" s="514"/>
      <c r="AJ320" s="514"/>
      <c r="AK320" s="514"/>
      <c r="AL320" s="514"/>
      <c r="AM320" s="514"/>
      <c r="AN320" s="514"/>
      <c r="AO320" s="514"/>
      <c r="AP320" s="514"/>
      <c r="AQ320" s="487"/>
      <c r="AR320" s="514"/>
      <c r="AS320" s="514"/>
      <c r="AT320" s="488"/>
      <c r="AU320" s="523"/>
      <c r="AV320" s="516"/>
      <c r="AW320" s="488"/>
      <c r="AX320" s="28"/>
      <c r="AY320" s="10"/>
    </row>
    <row r="321" spans="1:51" ht="14.25">
      <c r="A321" s="40"/>
      <c r="B321" s="12"/>
      <c r="C321" s="12" t="s">
        <v>1800</v>
      </c>
      <c r="D321" s="455" t="s">
        <v>401</v>
      </c>
      <c r="E321" s="455"/>
      <c r="F321" s="455" t="s">
        <v>1721</v>
      </c>
      <c r="G321" s="41" t="s">
        <v>1722</v>
      </c>
      <c r="H321" s="646"/>
      <c r="I321" s="482"/>
      <c r="J321" s="456" t="s">
        <v>1804</v>
      </c>
      <c r="K321" s="457"/>
      <c r="L321" s="103"/>
      <c r="M321" s="458"/>
      <c r="N321" s="81"/>
      <c r="O321" s="483"/>
      <c r="P321" s="484"/>
      <c r="Q321" s="484"/>
      <c r="R321" s="484"/>
      <c r="S321" s="485"/>
      <c r="T321" s="486"/>
      <c r="U321" s="487"/>
      <c r="V321" s="487"/>
      <c r="W321" s="514"/>
      <c r="X321" s="514"/>
      <c r="Y321" s="514"/>
      <c r="Z321" s="514"/>
      <c r="AA321" s="514"/>
      <c r="AB321" s="514"/>
      <c r="AC321" s="514"/>
      <c r="AD321" s="514"/>
      <c r="AE321" s="514"/>
      <c r="AF321" s="514"/>
      <c r="AG321" s="514"/>
      <c r="AH321" s="514"/>
      <c r="AI321" s="514"/>
      <c r="AJ321" s="514"/>
      <c r="AK321" s="514"/>
      <c r="AL321" s="514"/>
      <c r="AM321" s="514"/>
      <c r="AN321" s="514"/>
      <c r="AO321" s="514"/>
      <c r="AP321" s="514"/>
      <c r="AQ321" s="487"/>
      <c r="AR321" s="514"/>
      <c r="AS321" s="514"/>
      <c r="AT321" s="488"/>
      <c r="AU321" s="523"/>
      <c r="AV321" s="516"/>
      <c r="AW321" s="488"/>
      <c r="AX321" s="28"/>
      <c r="AY321" s="10"/>
    </row>
    <row r="322" spans="1:51" ht="14.25">
      <c r="A322" s="40"/>
      <c r="B322" s="12"/>
      <c r="C322" s="12" t="s">
        <v>1800</v>
      </c>
      <c r="D322" s="455" t="s">
        <v>401</v>
      </c>
      <c r="E322" s="455"/>
      <c r="F322" s="455" t="s">
        <v>1721</v>
      </c>
      <c r="G322" s="41" t="s">
        <v>1724</v>
      </c>
      <c r="H322" s="646"/>
      <c r="I322" s="482"/>
      <c r="J322" s="456" t="s">
        <v>1805</v>
      </c>
      <c r="K322" s="457"/>
      <c r="L322" s="103"/>
      <c r="M322" s="458"/>
      <c r="N322" s="81"/>
      <c r="O322" s="483"/>
      <c r="P322" s="484"/>
      <c r="Q322" s="484"/>
      <c r="R322" s="484"/>
      <c r="S322" s="485"/>
      <c r="T322" s="486"/>
      <c r="U322" s="487"/>
      <c r="V322" s="487"/>
      <c r="W322" s="514"/>
      <c r="X322" s="514"/>
      <c r="Y322" s="514"/>
      <c r="Z322" s="514"/>
      <c r="AA322" s="514"/>
      <c r="AB322" s="514"/>
      <c r="AC322" s="514"/>
      <c r="AD322" s="514"/>
      <c r="AE322" s="514"/>
      <c r="AF322" s="514"/>
      <c r="AG322" s="514"/>
      <c r="AH322" s="514"/>
      <c r="AI322" s="514"/>
      <c r="AJ322" s="514"/>
      <c r="AK322" s="514"/>
      <c r="AL322" s="514"/>
      <c r="AM322" s="514"/>
      <c r="AN322" s="514"/>
      <c r="AO322" s="514"/>
      <c r="AP322" s="514"/>
      <c r="AQ322" s="487"/>
      <c r="AR322" s="514"/>
      <c r="AS322" s="514"/>
      <c r="AT322" s="488"/>
      <c r="AU322" s="523"/>
      <c r="AV322" s="516"/>
      <c r="AW322" s="488"/>
      <c r="AX322" s="28"/>
      <c r="AY322" s="10"/>
    </row>
    <row r="323" spans="1:51" ht="14.25">
      <c r="A323" s="40"/>
      <c r="B323" s="12"/>
      <c r="C323" s="12" t="s">
        <v>1800</v>
      </c>
      <c r="D323" s="455" t="s">
        <v>401</v>
      </c>
      <c r="E323" s="455"/>
      <c r="F323" s="455" t="s">
        <v>1806</v>
      </c>
      <c r="G323" s="41" t="s">
        <v>476</v>
      </c>
      <c r="H323" s="646"/>
      <c r="I323" s="482"/>
      <c r="J323" s="456" t="s">
        <v>1807</v>
      </c>
      <c r="K323" s="457"/>
      <c r="L323" s="103"/>
      <c r="M323" s="458"/>
      <c r="N323" s="81"/>
      <c r="O323" s="483"/>
      <c r="P323" s="484"/>
      <c r="Q323" s="484"/>
      <c r="R323" s="484"/>
      <c r="S323" s="485"/>
      <c r="T323" s="486"/>
      <c r="U323" s="487"/>
      <c r="V323" s="487"/>
      <c r="W323" s="514"/>
      <c r="X323" s="514"/>
      <c r="Y323" s="514"/>
      <c r="Z323" s="514"/>
      <c r="AA323" s="514"/>
      <c r="AB323" s="514"/>
      <c r="AC323" s="514"/>
      <c r="AD323" s="514"/>
      <c r="AE323" s="514"/>
      <c r="AF323" s="514"/>
      <c r="AG323" s="514"/>
      <c r="AH323" s="514"/>
      <c r="AI323" s="514"/>
      <c r="AJ323" s="514"/>
      <c r="AK323" s="514"/>
      <c r="AL323" s="514"/>
      <c r="AM323" s="514"/>
      <c r="AN323" s="514"/>
      <c r="AO323" s="514"/>
      <c r="AP323" s="514"/>
      <c r="AQ323" s="487"/>
      <c r="AR323" s="514"/>
      <c r="AS323" s="514"/>
      <c r="AT323" s="488"/>
      <c r="AU323" s="523"/>
      <c r="AV323" s="516"/>
      <c r="AW323" s="488"/>
      <c r="AX323" s="28"/>
      <c r="AY323" s="10"/>
    </row>
    <row r="324" spans="1:51" ht="14.25">
      <c r="A324" s="40"/>
      <c r="B324" s="12"/>
      <c r="C324" s="12" t="s">
        <v>1800</v>
      </c>
      <c r="D324" s="455" t="s">
        <v>401</v>
      </c>
      <c r="E324" s="455"/>
      <c r="F324" s="455" t="s">
        <v>1806</v>
      </c>
      <c r="G324" s="41" t="s">
        <v>1724</v>
      </c>
      <c r="H324" s="646"/>
      <c r="I324" s="482"/>
      <c r="J324" s="456" t="s">
        <v>1808</v>
      </c>
      <c r="K324" s="457"/>
      <c r="L324" s="103"/>
      <c r="M324" s="458"/>
      <c r="N324" s="81"/>
      <c r="O324" s="483"/>
      <c r="P324" s="484"/>
      <c r="Q324" s="484"/>
      <c r="R324" s="484"/>
      <c r="S324" s="485"/>
      <c r="T324" s="486"/>
      <c r="U324" s="487"/>
      <c r="V324" s="487"/>
      <c r="W324" s="514"/>
      <c r="X324" s="514"/>
      <c r="Y324" s="514"/>
      <c r="Z324" s="514"/>
      <c r="AA324" s="514"/>
      <c r="AB324" s="514"/>
      <c r="AC324" s="514"/>
      <c r="AD324" s="514"/>
      <c r="AE324" s="514"/>
      <c r="AF324" s="514"/>
      <c r="AG324" s="514"/>
      <c r="AH324" s="514"/>
      <c r="AI324" s="514"/>
      <c r="AJ324" s="514"/>
      <c r="AK324" s="514"/>
      <c r="AL324" s="514"/>
      <c r="AM324" s="514"/>
      <c r="AN324" s="514"/>
      <c r="AO324" s="514"/>
      <c r="AP324" s="514"/>
      <c r="AQ324" s="487"/>
      <c r="AR324" s="514"/>
      <c r="AS324" s="514"/>
      <c r="AT324" s="488"/>
      <c r="AU324" s="523"/>
      <c r="AV324" s="516"/>
      <c r="AW324" s="488"/>
      <c r="AX324" s="28"/>
      <c r="AY324" s="10"/>
    </row>
    <row r="325" spans="1:51" ht="14.25">
      <c r="A325" s="40"/>
      <c r="B325" s="12"/>
      <c r="C325" s="12" t="s">
        <v>1800</v>
      </c>
      <c r="D325" s="455" t="s">
        <v>401</v>
      </c>
      <c r="E325" s="455"/>
      <c r="F325" s="455" t="s">
        <v>1694</v>
      </c>
      <c r="G325" s="41" t="s">
        <v>1703</v>
      </c>
      <c r="H325" s="646"/>
      <c r="I325" s="482"/>
      <c r="J325" s="456" t="s">
        <v>342</v>
      </c>
      <c r="K325" s="457"/>
      <c r="L325" s="103"/>
      <c r="M325" s="458"/>
      <c r="N325" s="81"/>
      <c r="O325" s="483"/>
      <c r="P325" s="484"/>
      <c r="Q325" s="484"/>
      <c r="R325" s="484"/>
      <c r="S325" s="485"/>
      <c r="T325" s="486"/>
      <c r="U325" s="514"/>
      <c r="V325" s="514"/>
      <c r="W325" s="514"/>
      <c r="X325" s="514"/>
      <c r="Y325" s="514"/>
      <c r="Z325" s="514"/>
      <c r="AA325" s="514"/>
      <c r="AB325" s="514"/>
      <c r="AC325" s="514"/>
      <c r="AD325" s="514"/>
      <c r="AE325" s="514"/>
      <c r="AF325" s="514"/>
      <c r="AG325" s="514"/>
      <c r="AH325" s="514"/>
      <c r="AI325" s="514"/>
      <c r="AJ325" s="514"/>
      <c r="AK325" s="514"/>
      <c r="AL325" s="514"/>
      <c r="AM325" s="514"/>
      <c r="AN325" s="514"/>
      <c r="AO325" s="514"/>
      <c r="AP325" s="514"/>
      <c r="AQ325" s="514"/>
      <c r="AR325" s="514"/>
      <c r="AS325" s="514"/>
      <c r="AT325" s="515"/>
      <c r="AU325" s="523"/>
      <c r="AV325" s="516"/>
      <c r="AW325" s="515"/>
      <c r="AX325" s="28"/>
      <c r="AY325" s="10"/>
    </row>
    <row r="326" spans="1:51" ht="14.25">
      <c r="A326" s="40"/>
      <c r="B326" s="12"/>
      <c r="C326" s="12" t="s">
        <v>1800</v>
      </c>
      <c r="D326" s="455" t="s">
        <v>401</v>
      </c>
      <c r="E326" s="455"/>
      <c r="F326" s="455" t="s">
        <v>1694</v>
      </c>
      <c r="G326" s="41" t="s">
        <v>1809</v>
      </c>
      <c r="H326" s="646"/>
      <c r="I326" s="482"/>
      <c r="J326" s="456" t="s">
        <v>1810</v>
      </c>
      <c r="K326" s="457"/>
      <c r="L326" s="103"/>
      <c r="M326" s="458"/>
      <c r="N326" s="81"/>
      <c r="O326" s="483"/>
      <c r="P326" s="484"/>
      <c r="Q326" s="484"/>
      <c r="R326" s="484"/>
      <c r="S326" s="485"/>
      <c r="T326" s="486"/>
      <c r="U326" s="514"/>
      <c r="V326" s="514"/>
      <c r="W326" s="514"/>
      <c r="X326" s="514"/>
      <c r="Y326" s="514"/>
      <c r="Z326" s="514"/>
      <c r="AA326" s="514"/>
      <c r="AB326" s="514"/>
      <c r="AC326" s="514"/>
      <c r="AD326" s="514"/>
      <c r="AE326" s="514"/>
      <c r="AF326" s="514"/>
      <c r="AG326" s="514"/>
      <c r="AH326" s="514"/>
      <c r="AI326" s="514"/>
      <c r="AJ326" s="514"/>
      <c r="AK326" s="514"/>
      <c r="AL326" s="514"/>
      <c r="AM326" s="514"/>
      <c r="AN326" s="514"/>
      <c r="AO326" s="514"/>
      <c r="AP326" s="514"/>
      <c r="AQ326" s="514"/>
      <c r="AR326" s="514"/>
      <c r="AS326" s="514"/>
      <c r="AT326" s="515"/>
      <c r="AU326" s="523"/>
      <c r="AV326" s="516"/>
      <c r="AW326" s="515"/>
      <c r="AX326" s="28"/>
      <c r="AY326" s="10"/>
    </row>
    <row r="327" spans="1:51" ht="14.25">
      <c r="A327" s="40"/>
      <c r="B327" s="12"/>
      <c r="C327" s="12" t="s">
        <v>1800</v>
      </c>
      <c r="D327" s="455" t="s">
        <v>401</v>
      </c>
      <c r="E327" s="455"/>
      <c r="F327" s="455" t="s">
        <v>1694</v>
      </c>
      <c r="G327" s="41" t="s">
        <v>1811</v>
      </c>
      <c r="H327" s="646"/>
      <c r="I327" s="482"/>
      <c r="J327" s="456" t="s">
        <v>1812</v>
      </c>
      <c r="K327" s="457"/>
      <c r="L327" s="103"/>
      <c r="M327" s="458"/>
      <c r="N327" s="81"/>
      <c r="O327" s="483"/>
      <c r="P327" s="484"/>
      <c r="Q327" s="484"/>
      <c r="R327" s="484"/>
      <c r="S327" s="485"/>
      <c r="T327" s="486"/>
      <c r="U327" s="514"/>
      <c r="V327" s="514"/>
      <c r="W327" s="514"/>
      <c r="X327" s="514"/>
      <c r="Y327" s="514"/>
      <c r="Z327" s="514"/>
      <c r="AA327" s="514"/>
      <c r="AB327" s="514"/>
      <c r="AC327" s="514"/>
      <c r="AD327" s="514"/>
      <c r="AE327" s="514"/>
      <c r="AF327" s="514"/>
      <c r="AG327" s="514"/>
      <c r="AH327" s="514"/>
      <c r="AI327" s="514"/>
      <c r="AJ327" s="514"/>
      <c r="AK327" s="514"/>
      <c r="AL327" s="514"/>
      <c r="AM327" s="514"/>
      <c r="AN327" s="514"/>
      <c r="AO327" s="514"/>
      <c r="AP327" s="514"/>
      <c r="AQ327" s="514"/>
      <c r="AR327" s="514"/>
      <c r="AS327" s="514"/>
      <c r="AT327" s="515"/>
      <c r="AU327" s="523"/>
      <c r="AV327" s="516"/>
      <c r="AW327" s="515"/>
      <c r="AX327" s="28"/>
      <c r="AY327" s="10"/>
    </row>
    <row r="328" spans="1:51" ht="14.25">
      <c r="A328" s="40"/>
      <c r="B328" s="12"/>
      <c r="C328" s="12" t="s">
        <v>1800</v>
      </c>
      <c r="D328" s="455" t="s">
        <v>401</v>
      </c>
      <c r="E328" s="455"/>
      <c r="F328" s="455" t="s">
        <v>1694</v>
      </c>
      <c r="G328" s="41" t="s">
        <v>1729</v>
      </c>
      <c r="H328" s="646"/>
      <c r="I328" s="482"/>
      <c r="J328" s="456" t="s">
        <v>1730</v>
      </c>
      <c r="K328" s="457"/>
      <c r="L328" s="103"/>
      <c r="M328" s="458"/>
      <c r="N328" s="81"/>
      <c r="O328" s="483"/>
      <c r="P328" s="484"/>
      <c r="Q328" s="484"/>
      <c r="R328" s="484"/>
      <c r="S328" s="485"/>
      <c r="T328" s="486"/>
      <c r="U328" s="514"/>
      <c r="V328" s="514"/>
      <c r="W328" s="514"/>
      <c r="X328" s="514"/>
      <c r="Y328" s="514"/>
      <c r="Z328" s="514"/>
      <c r="AA328" s="514"/>
      <c r="AB328" s="514"/>
      <c r="AC328" s="514"/>
      <c r="AD328" s="514"/>
      <c r="AE328" s="514"/>
      <c r="AF328" s="514"/>
      <c r="AG328" s="514"/>
      <c r="AH328" s="514"/>
      <c r="AI328" s="514"/>
      <c r="AJ328" s="514"/>
      <c r="AK328" s="514"/>
      <c r="AL328" s="514"/>
      <c r="AM328" s="514"/>
      <c r="AN328" s="514"/>
      <c r="AO328" s="514"/>
      <c r="AP328" s="514"/>
      <c r="AQ328" s="514"/>
      <c r="AR328" s="514"/>
      <c r="AS328" s="514"/>
      <c r="AT328" s="515"/>
      <c r="AU328" s="523"/>
      <c r="AV328" s="516"/>
      <c r="AW328" s="515"/>
      <c r="AX328" s="28"/>
      <c r="AY328" s="10"/>
    </row>
    <row r="329" spans="1:51" ht="14.25">
      <c r="A329" s="40"/>
      <c r="B329" s="12"/>
      <c r="C329" s="12" t="s">
        <v>1800</v>
      </c>
      <c r="D329" s="455" t="s">
        <v>401</v>
      </c>
      <c r="E329" s="455"/>
      <c r="F329" s="455" t="s">
        <v>1694</v>
      </c>
      <c r="G329" s="41" t="s">
        <v>1731</v>
      </c>
      <c r="H329" s="646"/>
      <c r="I329" s="482"/>
      <c r="J329" s="456" t="s">
        <v>1732</v>
      </c>
      <c r="K329" s="457"/>
      <c r="L329" s="103"/>
      <c r="M329" s="458"/>
      <c r="N329" s="81"/>
      <c r="O329" s="483"/>
      <c r="P329" s="484"/>
      <c r="Q329" s="484"/>
      <c r="R329" s="484"/>
      <c r="S329" s="485"/>
      <c r="T329" s="486"/>
      <c r="U329" s="514"/>
      <c r="V329" s="514"/>
      <c r="W329" s="514"/>
      <c r="X329" s="514"/>
      <c r="Y329" s="514"/>
      <c r="Z329" s="514"/>
      <c r="AA329" s="514"/>
      <c r="AB329" s="514"/>
      <c r="AC329" s="514"/>
      <c r="AD329" s="514"/>
      <c r="AE329" s="514"/>
      <c r="AF329" s="514"/>
      <c r="AG329" s="514"/>
      <c r="AH329" s="514"/>
      <c r="AI329" s="514"/>
      <c r="AJ329" s="514"/>
      <c r="AK329" s="514"/>
      <c r="AL329" s="514"/>
      <c r="AM329" s="514"/>
      <c r="AN329" s="514"/>
      <c r="AO329" s="514"/>
      <c r="AP329" s="514"/>
      <c r="AQ329" s="514"/>
      <c r="AR329" s="514"/>
      <c r="AS329" s="514"/>
      <c r="AT329" s="515"/>
      <c r="AU329" s="523"/>
      <c r="AV329" s="516"/>
      <c r="AW329" s="515"/>
      <c r="AX329" s="28"/>
      <c r="AY329" s="10"/>
    </row>
    <row r="330" spans="1:51" ht="14.25">
      <c r="A330" s="40"/>
      <c r="B330" s="12"/>
      <c r="C330" s="12" t="s">
        <v>1800</v>
      </c>
      <c r="D330" s="455" t="s">
        <v>401</v>
      </c>
      <c r="E330" s="455"/>
      <c r="F330" s="455" t="s">
        <v>1694</v>
      </c>
      <c r="G330" s="41" t="s">
        <v>1705</v>
      </c>
      <c r="H330" s="646"/>
      <c r="I330" s="482"/>
      <c r="J330" s="456" t="s">
        <v>344</v>
      </c>
      <c r="K330" s="457"/>
      <c r="L330" s="103"/>
      <c r="M330" s="458"/>
      <c r="N330" s="81"/>
      <c r="O330" s="483"/>
      <c r="P330" s="484"/>
      <c r="Q330" s="484"/>
      <c r="R330" s="484"/>
      <c r="S330" s="485"/>
      <c r="T330" s="486"/>
      <c r="U330" s="514"/>
      <c r="V330" s="514"/>
      <c r="W330" s="514"/>
      <c r="X330" s="514"/>
      <c r="Y330" s="514"/>
      <c r="Z330" s="514"/>
      <c r="AA330" s="514"/>
      <c r="AB330" s="514"/>
      <c r="AC330" s="514"/>
      <c r="AD330" s="514"/>
      <c r="AE330" s="514"/>
      <c r="AF330" s="514"/>
      <c r="AG330" s="514"/>
      <c r="AH330" s="514"/>
      <c r="AI330" s="514"/>
      <c r="AJ330" s="514"/>
      <c r="AK330" s="514"/>
      <c r="AL330" s="514"/>
      <c r="AM330" s="514"/>
      <c r="AN330" s="514"/>
      <c r="AO330" s="514"/>
      <c r="AP330" s="514"/>
      <c r="AQ330" s="514"/>
      <c r="AR330" s="514"/>
      <c r="AS330" s="514"/>
      <c r="AT330" s="515"/>
      <c r="AU330" s="523"/>
      <c r="AV330" s="516"/>
      <c r="AW330" s="515"/>
      <c r="AX330" s="28"/>
      <c r="AY330" s="10"/>
    </row>
    <row r="331" spans="1:51" ht="14.25">
      <c r="A331" s="40"/>
      <c r="B331" s="12"/>
      <c r="C331" s="12" t="s">
        <v>1800</v>
      </c>
      <c r="D331" s="455" t="s">
        <v>401</v>
      </c>
      <c r="E331" s="455"/>
      <c r="F331" s="455" t="s">
        <v>1694</v>
      </c>
      <c r="G331" s="41" t="s">
        <v>638</v>
      </c>
      <c r="H331" s="646"/>
      <c r="I331" s="482"/>
      <c r="J331" s="456" t="s">
        <v>336</v>
      </c>
      <c r="K331" s="457"/>
      <c r="L331" s="103"/>
      <c r="M331" s="458"/>
      <c r="N331" s="81"/>
      <c r="O331" s="483"/>
      <c r="P331" s="484"/>
      <c r="Q331" s="484"/>
      <c r="R331" s="484"/>
      <c r="S331" s="485"/>
      <c r="T331" s="486"/>
      <c r="U331" s="514"/>
      <c r="V331" s="514"/>
      <c r="W331" s="514"/>
      <c r="X331" s="514"/>
      <c r="Y331" s="514"/>
      <c r="Z331" s="514"/>
      <c r="AA331" s="514"/>
      <c r="AB331" s="514"/>
      <c r="AC331" s="514"/>
      <c r="AD331" s="514"/>
      <c r="AE331" s="514"/>
      <c r="AF331" s="514"/>
      <c r="AG331" s="514"/>
      <c r="AH331" s="514"/>
      <c r="AI331" s="514"/>
      <c r="AJ331" s="514"/>
      <c r="AK331" s="514"/>
      <c r="AL331" s="514"/>
      <c r="AM331" s="514"/>
      <c r="AN331" s="514"/>
      <c r="AO331" s="514"/>
      <c r="AP331" s="514"/>
      <c r="AQ331" s="514"/>
      <c r="AR331" s="514"/>
      <c r="AS331" s="514"/>
      <c r="AT331" s="515"/>
      <c r="AU331" s="523"/>
      <c r="AV331" s="516"/>
      <c r="AW331" s="515"/>
      <c r="AX331" s="28"/>
      <c r="AY331" s="10"/>
    </row>
    <row r="332" spans="1:51" ht="14.25">
      <c r="A332" s="40"/>
      <c r="B332" s="12"/>
      <c r="C332" s="12" t="s">
        <v>1800</v>
      </c>
      <c r="D332" s="455" t="s">
        <v>401</v>
      </c>
      <c r="E332" s="455"/>
      <c r="F332" s="455" t="s">
        <v>1694</v>
      </c>
      <c r="G332" s="41" t="s">
        <v>1698</v>
      </c>
      <c r="H332" s="646"/>
      <c r="I332" s="482"/>
      <c r="J332" s="456" t="s">
        <v>338</v>
      </c>
      <c r="K332" s="457"/>
      <c r="L332" s="103"/>
      <c r="M332" s="458"/>
      <c r="N332" s="81"/>
      <c r="O332" s="483"/>
      <c r="P332" s="484"/>
      <c r="Q332" s="484"/>
      <c r="R332" s="484"/>
      <c r="S332" s="485"/>
      <c r="T332" s="486"/>
      <c r="U332" s="514"/>
      <c r="V332" s="514"/>
      <c r="W332" s="514"/>
      <c r="X332" s="514"/>
      <c r="Y332" s="514"/>
      <c r="Z332" s="514"/>
      <c r="AA332" s="514"/>
      <c r="AB332" s="514"/>
      <c r="AC332" s="514"/>
      <c r="AD332" s="514"/>
      <c r="AE332" s="514"/>
      <c r="AF332" s="514"/>
      <c r="AG332" s="514"/>
      <c r="AH332" s="514"/>
      <c r="AI332" s="514"/>
      <c r="AJ332" s="514"/>
      <c r="AK332" s="514"/>
      <c r="AL332" s="514"/>
      <c r="AM332" s="514"/>
      <c r="AN332" s="514"/>
      <c r="AO332" s="514"/>
      <c r="AP332" s="514"/>
      <c r="AQ332" s="514"/>
      <c r="AR332" s="514"/>
      <c r="AS332" s="514"/>
      <c r="AT332" s="515"/>
      <c r="AU332" s="523"/>
      <c r="AV332" s="516"/>
      <c r="AW332" s="515"/>
      <c r="AX332" s="28"/>
      <c r="AY332" s="10"/>
    </row>
    <row r="333" spans="1:51" ht="14.25">
      <c r="A333" s="40"/>
      <c r="B333" s="12"/>
      <c r="C333" s="12" t="s">
        <v>1800</v>
      </c>
      <c r="D333" s="455" t="s">
        <v>401</v>
      </c>
      <c r="E333" s="455"/>
      <c r="F333" s="455" t="s">
        <v>1694</v>
      </c>
      <c r="G333" s="41" t="s">
        <v>1706</v>
      </c>
      <c r="H333" s="646"/>
      <c r="I333" s="482"/>
      <c r="J333" s="456" t="s">
        <v>1707</v>
      </c>
      <c r="K333" s="457"/>
      <c r="L333" s="103"/>
      <c r="M333" s="458"/>
      <c r="N333" s="81"/>
      <c r="O333" s="483"/>
      <c r="P333" s="484"/>
      <c r="Q333" s="484"/>
      <c r="R333" s="484"/>
      <c r="S333" s="485"/>
      <c r="T333" s="486"/>
      <c r="U333" s="514"/>
      <c r="V333" s="514"/>
      <c r="W333" s="514"/>
      <c r="X333" s="514"/>
      <c r="Y333" s="514"/>
      <c r="Z333" s="514"/>
      <c r="AA333" s="514"/>
      <c r="AB333" s="514"/>
      <c r="AC333" s="514"/>
      <c r="AD333" s="514"/>
      <c r="AE333" s="514"/>
      <c r="AF333" s="514"/>
      <c r="AG333" s="514"/>
      <c r="AH333" s="514"/>
      <c r="AI333" s="514"/>
      <c r="AJ333" s="514"/>
      <c r="AK333" s="514"/>
      <c r="AL333" s="514"/>
      <c r="AM333" s="514"/>
      <c r="AN333" s="514"/>
      <c r="AO333" s="514"/>
      <c r="AP333" s="514"/>
      <c r="AQ333" s="514"/>
      <c r="AR333" s="514"/>
      <c r="AS333" s="514"/>
      <c r="AT333" s="515"/>
      <c r="AU333" s="523"/>
      <c r="AV333" s="516"/>
      <c r="AW333" s="515"/>
      <c r="AX333" s="28"/>
      <c r="AY333" s="10"/>
    </row>
    <row r="334" spans="1:51" ht="14.25">
      <c r="A334" s="40"/>
      <c r="B334" s="12"/>
      <c r="C334" s="12" t="s">
        <v>1800</v>
      </c>
      <c r="D334" s="455" t="s">
        <v>401</v>
      </c>
      <c r="E334" s="455"/>
      <c r="F334" s="455" t="s">
        <v>1694</v>
      </c>
      <c r="G334" s="41" t="s">
        <v>1700</v>
      </c>
      <c r="H334" s="646"/>
      <c r="I334" s="489"/>
      <c r="J334" s="462" t="s">
        <v>339</v>
      </c>
      <c r="K334" s="463"/>
      <c r="L334" s="103"/>
      <c r="M334" s="458"/>
      <c r="N334" s="81"/>
      <c r="O334" s="483"/>
      <c r="P334" s="484"/>
      <c r="Q334" s="484"/>
      <c r="R334" s="484"/>
      <c r="S334" s="485"/>
      <c r="T334" s="486"/>
      <c r="U334" s="514"/>
      <c r="V334" s="514"/>
      <c r="W334" s="514"/>
      <c r="X334" s="514"/>
      <c r="Y334" s="514"/>
      <c r="Z334" s="514"/>
      <c r="AA334" s="514"/>
      <c r="AB334" s="514"/>
      <c r="AC334" s="514"/>
      <c r="AD334" s="514"/>
      <c r="AE334" s="514"/>
      <c r="AF334" s="514"/>
      <c r="AG334" s="514"/>
      <c r="AH334" s="514"/>
      <c r="AI334" s="514"/>
      <c r="AJ334" s="514"/>
      <c r="AK334" s="514"/>
      <c r="AL334" s="514"/>
      <c r="AM334" s="514"/>
      <c r="AN334" s="514"/>
      <c r="AO334" s="514"/>
      <c r="AP334" s="514"/>
      <c r="AQ334" s="514"/>
      <c r="AR334" s="514"/>
      <c r="AS334" s="514"/>
      <c r="AT334" s="515"/>
      <c r="AU334" s="523"/>
      <c r="AV334" s="516"/>
      <c r="AW334" s="515"/>
      <c r="AX334" s="28"/>
      <c r="AY334" s="10"/>
    </row>
    <row r="335" spans="1:51" ht="14.25">
      <c r="A335" s="40"/>
      <c r="B335" s="12"/>
      <c r="C335" s="12"/>
      <c r="D335" s="455"/>
      <c r="E335" s="455"/>
      <c r="F335" s="455"/>
      <c r="G335" s="41"/>
      <c r="H335" s="646"/>
      <c r="I335" s="490"/>
      <c r="J335" s="469" t="s">
        <v>1712</v>
      </c>
      <c r="K335" s="470"/>
      <c r="L335" s="103"/>
      <c r="M335" s="458"/>
      <c r="N335" s="81"/>
      <c r="O335" s="483"/>
      <c r="P335" s="484"/>
      <c r="Q335" s="484"/>
      <c r="R335" s="484"/>
      <c r="S335" s="485"/>
      <c r="T335" s="55"/>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335"/>
      <c r="AU335" s="523"/>
      <c r="AV335" s="524"/>
      <c r="AW335" s="335"/>
      <c r="AX335" s="28"/>
      <c r="AY335" s="10"/>
    </row>
    <row r="336" spans="1:51" ht="14.25">
      <c r="A336" s="40"/>
      <c r="B336" s="12"/>
      <c r="C336" s="12" t="s">
        <v>1800</v>
      </c>
      <c r="D336" s="455" t="s">
        <v>401</v>
      </c>
      <c r="E336" s="455"/>
      <c r="F336" s="455" t="s">
        <v>1694</v>
      </c>
      <c r="G336" s="41"/>
      <c r="H336" s="646"/>
      <c r="I336" s="477"/>
      <c r="J336" s="492"/>
      <c r="K336" s="493"/>
      <c r="L336" s="103"/>
      <c r="M336" s="458"/>
      <c r="N336" s="81"/>
      <c r="O336" s="483"/>
      <c r="P336" s="484"/>
      <c r="Q336" s="484"/>
      <c r="R336" s="484"/>
      <c r="S336" s="485"/>
      <c r="T336" s="486"/>
      <c r="U336" s="514"/>
      <c r="V336" s="514"/>
      <c r="W336" s="514"/>
      <c r="X336" s="514"/>
      <c r="Y336" s="514"/>
      <c r="Z336" s="514"/>
      <c r="AA336" s="514"/>
      <c r="AB336" s="514"/>
      <c r="AC336" s="514"/>
      <c r="AD336" s="514"/>
      <c r="AE336" s="514"/>
      <c r="AF336" s="514"/>
      <c r="AG336" s="514"/>
      <c r="AH336" s="514"/>
      <c r="AI336" s="514"/>
      <c r="AJ336" s="514"/>
      <c r="AK336" s="514"/>
      <c r="AL336" s="514"/>
      <c r="AM336" s="514"/>
      <c r="AN336" s="514"/>
      <c r="AO336" s="514"/>
      <c r="AP336" s="514"/>
      <c r="AQ336" s="514"/>
      <c r="AR336" s="514"/>
      <c r="AS336" s="514"/>
      <c r="AT336" s="515"/>
      <c r="AU336" s="523"/>
      <c r="AV336" s="516"/>
      <c r="AW336" s="515"/>
      <c r="AX336" s="28"/>
      <c r="AY336" s="10"/>
    </row>
    <row r="337" spans="1:51" ht="14.25">
      <c r="A337" s="40"/>
      <c r="B337" s="12"/>
      <c r="C337" s="12" t="s">
        <v>1800</v>
      </c>
      <c r="D337" s="455" t="s">
        <v>401</v>
      </c>
      <c r="E337" s="455"/>
      <c r="F337" s="455" t="s">
        <v>1694</v>
      </c>
      <c r="G337" s="41"/>
      <c r="H337" s="646"/>
      <c r="I337" s="482"/>
      <c r="J337" s="494"/>
      <c r="K337" s="495"/>
      <c r="L337" s="103"/>
      <c r="M337" s="458"/>
      <c r="N337" s="81"/>
      <c r="O337" s="483"/>
      <c r="P337" s="484"/>
      <c r="Q337" s="484"/>
      <c r="R337" s="484"/>
      <c r="S337" s="485"/>
      <c r="T337" s="486"/>
      <c r="U337" s="514"/>
      <c r="V337" s="514"/>
      <c r="W337" s="514"/>
      <c r="X337" s="514"/>
      <c r="Y337" s="514"/>
      <c r="Z337" s="514"/>
      <c r="AA337" s="514"/>
      <c r="AB337" s="514"/>
      <c r="AC337" s="514"/>
      <c r="AD337" s="514"/>
      <c r="AE337" s="514"/>
      <c r="AF337" s="514"/>
      <c r="AG337" s="514"/>
      <c r="AH337" s="514"/>
      <c r="AI337" s="514"/>
      <c r="AJ337" s="514"/>
      <c r="AK337" s="514"/>
      <c r="AL337" s="514"/>
      <c r="AM337" s="514"/>
      <c r="AN337" s="514"/>
      <c r="AO337" s="514"/>
      <c r="AP337" s="514"/>
      <c r="AQ337" s="514"/>
      <c r="AR337" s="514"/>
      <c r="AS337" s="514"/>
      <c r="AT337" s="515"/>
      <c r="AU337" s="523"/>
      <c r="AV337" s="516"/>
      <c r="AW337" s="515"/>
      <c r="AX337" s="28"/>
      <c r="AY337" s="10"/>
    </row>
    <row r="338" spans="1:51" ht="14.25">
      <c r="A338" s="40"/>
      <c r="B338" s="12"/>
      <c r="C338" s="12" t="s">
        <v>1800</v>
      </c>
      <c r="D338" s="455" t="s">
        <v>401</v>
      </c>
      <c r="E338" s="455"/>
      <c r="F338" s="455" t="s">
        <v>1694</v>
      </c>
      <c r="G338" s="41"/>
      <c r="H338" s="646"/>
      <c r="I338" s="482"/>
      <c r="J338" s="494"/>
      <c r="K338" s="495"/>
      <c r="L338" s="103"/>
      <c r="M338" s="458"/>
      <c r="N338" s="81"/>
      <c r="O338" s="483"/>
      <c r="P338" s="484"/>
      <c r="Q338" s="484"/>
      <c r="R338" s="484"/>
      <c r="S338" s="485"/>
      <c r="T338" s="486"/>
      <c r="U338" s="514"/>
      <c r="V338" s="514"/>
      <c r="W338" s="514"/>
      <c r="X338" s="514"/>
      <c r="Y338" s="514"/>
      <c r="Z338" s="514"/>
      <c r="AA338" s="514"/>
      <c r="AB338" s="514"/>
      <c r="AC338" s="514"/>
      <c r="AD338" s="514"/>
      <c r="AE338" s="514"/>
      <c r="AF338" s="514"/>
      <c r="AG338" s="514"/>
      <c r="AH338" s="514"/>
      <c r="AI338" s="514"/>
      <c r="AJ338" s="514"/>
      <c r="AK338" s="514"/>
      <c r="AL338" s="514"/>
      <c r="AM338" s="514"/>
      <c r="AN338" s="514"/>
      <c r="AO338" s="514"/>
      <c r="AP338" s="514"/>
      <c r="AQ338" s="514"/>
      <c r="AR338" s="514"/>
      <c r="AS338" s="514"/>
      <c r="AT338" s="515"/>
      <c r="AU338" s="523"/>
      <c r="AV338" s="516"/>
      <c r="AW338" s="515"/>
      <c r="AX338" s="28"/>
      <c r="AY338" s="10"/>
    </row>
    <row r="339" spans="1:51" ht="14.25">
      <c r="A339" s="40"/>
      <c r="B339" s="12"/>
      <c r="C339" s="12" t="s">
        <v>1800</v>
      </c>
      <c r="D339" s="455" t="s">
        <v>401</v>
      </c>
      <c r="E339" s="455"/>
      <c r="F339" s="455" t="s">
        <v>1694</v>
      </c>
      <c r="G339" s="41"/>
      <c r="H339" s="646"/>
      <c r="I339" s="482"/>
      <c r="J339" s="494"/>
      <c r="K339" s="495"/>
      <c r="L339" s="103"/>
      <c r="M339" s="458"/>
      <c r="N339" s="81"/>
      <c r="O339" s="483"/>
      <c r="P339" s="484"/>
      <c r="Q339" s="484"/>
      <c r="R339" s="484"/>
      <c r="S339" s="485"/>
      <c r="T339" s="486"/>
      <c r="U339" s="514"/>
      <c r="V339" s="514"/>
      <c r="W339" s="514"/>
      <c r="X339" s="514"/>
      <c r="Y339" s="514"/>
      <c r="Z339" s="514"/>
      <c r="AA339" s="514"/>
      <c r="AB339" s="514"/>
      <c r="AC339" s="514"/>
      <c r="AD339" s="514"/>
      <c r="AE339" s="514"/>
      <c r="AF339" s="514"/>
      <c r="AG339" s="514"/>
      <c r="AH339" s="514"/>
      <c r="AI339" s="514"/>
      <c r="AJ339" s="514"/>
      <c r="AK339" s="514"/>
      <c r="AL339" s="514"/>
      <c r="AM339" s="514"/>
      <c r="AN339" s="514"/>
      <c r="AO339" s="514"/>
      <c r="AP339" s="514"/>
      <c r="AQ339" s="514"/>
      <c r="AR339" s="514"/>
      <c r="AS339" s="514"/>
      <c r="AT339" s="515"/>
      <c r="AU339" s="523"/>
      <c r="AV339" s="516"/>
      <c r="AW339" s="515"/>
      <c r="AX339" s="28"/>
      <c r="AY339" s="10"/>
    </row>
    <row r="340" spans="1:51" ht="14.25">
      <c r="A340" s="40"/>
      <c r="B340" s="12"/>
      <c r="C340" s="12" t="s">
        <v>1800</v>
      </c>
      <c r="D340" s="455" t="s">
        <v>401</v>
      </c>
      <c r="E340" s="455"/>
      <c r="F340" s="455" t="s">
        <v>1694</v>
      </c>
      <c r="G340" s="41"/>
      <c r="H340" s="646"/>
      <c r="I340" s="482"/>
      <c r="J340" s="494"/>
      <c r="K340" s="495"/>
      <c r="L340" s="103"/>
      <c r="M340" s="458"/>
      <c r="N340" s="81"/>
      <c r="O340" s="483"/>
      <c r="P340" s="484"/>
      <c r="Q340" s="484"/>
      <c r="R340" s="484"/>
      <c r="S340" s="485"/>
      <c r="T340" s="486"/>
      <c r="U340" s="514"/>
      <c r="V340" s="514"/>
      <c r="W340" s="514"/>
      <c r="X340" s="514"/>
      <c r="Y340" s="514"/>
      <c r="Z340" s="514"/>
      <c r="AA340" s="514"/>
      <c r="AB340" s="514"/>
      <c r="AC340" s="514"/>
      <c r="AD340" s="514"/>
      <c r="AE340" s="514"/>
      <c r="AF340" s="514"/>
      <c r="AG340" s="514"/>
      <c r="AH340" s="514"/>
      <c r="AI340" s="514"/>
      <c r="AJ340" s="514"/>
      <c r="AK340" s="514"/>
      <c r="AL340" s="514"/>
      <c r="AM340" s="514"/>
      <c r="AN340" s="514"/>
      <c r="AO340" s="514"/>
      <c r="AP340" s="514"/>
      <c r="AQ340" s="514"/>
      <c r="AR340" s="514"/>
      <c r="AS340" s="514"/>
      <c r="AT340" s="515"/>
      <c r="AU340" s="523"/>
      <c r="AV340" s="516"/>
      <c r="AW340" s="515"/>
      <c r="AX340" s="28"/>
      <c r="AY340" s="10"/>
    </row>
    <row r="341" spans="1:51" ht="14.25">
      <c r="A341" s="45"/>
      <c r="B341" s="46"/>
      <c r="C341" s="46" t="s">
        <v>1800</v>
      </c>
      <c r="D341" s="476" t="s">
        <v>401</v>
      </c>
      <c r="E341" s="476"/>
      <c r="F341" s="476" t="s">
        <v>1694</v>
      </c>
      <c r="G341" s="47"/>
      <c r="H341" s="646"/>
      <c r="I341" s="489"/>
      <c r="J341" s="496"/>
      <c r="K341" s="497"/>
      <c r="L341" s="103"/>
      <c r="M341" s="464"/>
      <c r="N341" s="81"/>
      <c r="O341" s="498"/>
      <c r="P341" s="499"/>
      <c r="Q341" s="499"/>
      <c r="R341" s="499"/>
      <c r="S341" s="500"/>
      <c r="T341" s="503"/>
      <c r="U341" s="519"/>
      <c r="V341" s="519"/>
      <c r="W341" s="519"/>
      <c r="X341" s="519"/>
      <c r="Y341" s="519"/>
      <c r="Z341" s="519"/>
      <c r="AA341" s="519"/>
      <c r="AB341" s="519"/>
      <c r="AC341" s="519"/>
      <c r="AD341" s="519"/>
      <c r="AE341" s="519"/>
      <c r="AF341" s="519"/>
      <c r="AG341" s="519"/>
      <c r="AH341" s="519"/>
      <c r="AI341" s="519"/>
      <c r="AJ341" s="519"/>
      <c r="AK341" s="519"/>
      <c r="AL341" s="519"/>
      <c r="AM341" s="519"/>
      <c r="AN341" s="519"/>
      <c r="AO341" s="519"/>
      <c r="AP341" s="519"/>
      <c r="AQ341" s="519"/>
      <c r="AR341" s="519"/>
      <c r="AS341" s="519"/>
      <c r="AT341" s="520"/>
      <c r="AU341" s="523"/>
      <c r="AV341" s="521"/>
      <c r="AW341" s="520"/>
      <c r="AX341" s="28"/>
      <c r="AY341" s="10"/>
    </row>
    <row r="342" spans="1:51" ht="14.25">
      <c r="A342" s="92"/>
      <c r="B342" s="92"/>
      <c r="C342" s="92"/>
      <c r="D342" s="91"/>
      <c r="E342" s="91"/>
      <c r="F342" s="91"/>
      <c r="G342" s="159"/>
      <c r="H342" s="647"/>
      <c r="I342" s="490"/>
      <c r="J342" s="469" t="s">
        <v>1813</v>
      </c>
      <c r="K342" s="525"/>
      <c r="L342" s="103"/>
      <c r="M342" s="471"/>
      <c r="N342" s="81"/>
      <c r="O342" s="526">
        <f t="shared" ref="O342:AW342" si="13">SUM(O303:O341)</f>
        <v>0</v>
      </c>
      <c r="P342" s="527">
        <f t="shared" si="13"/>
        <v>0</v>
      </c>
      <c r="Q342" s="527">
        <f t="shared" si="13"/>
        <v>0</v>
      </c>
      <c r="R342" s="527">
        <f t="shared" si="13"/>
        <v>0</v>
      </c>
      <c r="S342" s="531">
        <f t="shared" si="13"/>
        <v>0</v>
      </c>
      <c r="T342" s="472">
        <f t="shared" si="13"/>
        <v>0</v>
      </c>
      <c r="U342" s="473">
        <f t="shared" si="13"/>
        <v>0</v>
      </c>
      <c r="V342" s="473">
        <f t="shared" si="13"/>
        <v>0</v>
      </c>
      <c r="W342" s="473">
        <f t="shared" si="13"/>
        <v>0</v>
      </c>
      <c r="X342" s="473">
        <f t="shared" si="13"/>
        <v>0</v>
      </c>
      <c r="Y342" s="473">
        <f t="shared" si="13"/>
        <v>0</v>
      </c>
      <c r="Z342" s="473">
        <f t="shared" si="13"/>
        <v>0</v>
      </c>
      <c r="AA342" s="473">
        <f t="shared" si="13"/>
        <v>0</v>
      </c>
      <c r="AB342" s="473">
        <f t="shared" si="13"/>
        <v>0</v>
      </c>
      <c r="AC342" s="473">
        <f t="shared" si="13"/>
        <v>0</v>
      </c>
      <c r="AD342" s="473">
        <f t="shared" si="13"/>
        <v>0</v>
      </c>
      <c r="AE342" s="473">
        <f t="shared" si="13"/>
        <v>0</v>
      </c>
      <c r="AF342" s="473">
        <f t="shared" si="13"/>
        <v>0</v>
      </c>
      <c r="AG342" s="473">
        <f t="shared" si="13"/>
        <v>0</v>
      </c>
      <c r="AH342" s="473">
        <f t="shared" si="13"/>
        <v>0</v>
      </c>
      <c r="AI342" s="473">
        <f t="shared" si="13"/>
        <v>0</v>
      </c>
      <c r="AJ342" s="473">
        <f t="shared" si="13"/>
        <v>0</v>
      </c>
      <c r="AK342" s="473">
        <f t="shared" si="13"/>
        <v>0</v>
      </c>
      <c r="AL342" s="473">
        <f t="shared" si="13"/>
        <v>0</v>
      </c>
      <c r="AM342" s="473">
        <f t="shared" si="13"/>
        <v>0</v>
      </c>
      <c r="AN342" s="473">
        <f t="shared" si="13"/>
        <v>0</v>
      </c>
      <c r="AO342" s="473">
        <f t="shared" si="13"/>
        <v>0</v>
      </c>
      <c r="AP342" s="473">
        <f t="shared" si="13"/>
        <v>0</v>
      </c>
      <c r="AQ342" s="473">
        <f t="shared" si="13"/>
        <v>0</v>
      </c>
      <c r="AR342" s="473">
        <f t="shared" si="13"/>
        <v>0</v>
      </c>
      <c r="AS342" s="473">
        <f t="shared" si="13"/>
        <v>0</v>
      </c>
      <c r="AT342" s="474">
        <f t="shared" si="13"/>
        <v>0</v>
      </c>
      <c r="AU342" s="528"/>
      <c r="AV342" s="472">
        <f t="shared" si="13"/>
        <v>0</v>
      </c>
      <c r="AW342" s="474">
        <f t="shared" si="13"/>
        <v>0</v>
      </c>
      <c r="AX342" s="28"/>
      <c r="AY342" s="10"/>
    </row>
    <row r="343" spans="1:51" ht="14.25">
      <c r="A343" s="77"/>
      <c r="B343" s="77"/>
      <c r="C343" s="77"/>
      <c r="D343" s="78"/>
      <c r="E343" s="78"/>
      <c r="F343" s="78"/>
      <c r="G343" s="77"/>
      <c r="H343" s="92"/>
      <c r="I343" s="92"/>
      <c r="J343" s="344"/>
      <c r="K343" s="345"/>
      <c r="L343" s="245"/>
      <c r="M343" s="240"/>
      <c r="N343" s="10"/>
      <c r="O343" s="346"/>
      <c r="P343" s="346"/>
      <c r="Q343" s="346"/>
      <c r="R343" s="346"/>
      <c r="S343" s="346"/>
      <c r="T343" s="346"/>
      <c r="U343" s="240"/>
      <c r="V343" s="240"/>
      <c r="W343" s="240"/>
      <c r="X343" s="240"/>
      <c r="Y343" s="240"/>
      <c r="Z343" s="240"/>
      <c r="AA343" s="240"/>
      <c r="AB343" s="240"/>
      <c r="AC343" s="240"/>
      <c r="AD343" s="240"/>
      <c r="AE343" s="240"/>
      <c r="AF343" s="240"/>
      <c r="AG343" s="240"/>
      <c r="AH343" s="240"/>
      <c r="AI343" s="240"/>
      <c r="AJ343" s="240"/>
      <c r="AK343" s="240"/>
      <c r="AL343" s="240"/>
      <c r="AM343" s="240"/>
      <c r="AN343" s="240"/>
      <c r="AO343" s="240"/>
      <c r="AP343" s="240"/>
      <c r="AQ343" s="240"/>
      <c r="AR343" s="240"/>
      <c r="AS343" s="240"/>
      <c r="AT343" s="240"/>
      <c r="AU343" s="324"/>
      <c r="AV343" s="240"/>
      <c r="AW343" s="240"/>
      <c r="AX343" s="10"/>
      <c r="AY343" s="10"/>
    </row>
    <row r="344" spans="1:51" ht="14.25">
      <c r="A344" s="36" t="str">
        <f>LEFT(J344,2)</f>
        <v>10</v>
      </c>
      <c r="B344" s="37"/>
      <c r="C344" s="37" t="str">
        <f>MID(J344,6,2)</f>
        <v>11</v>
      </c>
      <c r="D344" s="446" t="str">
        <f>MID(J344,8,4)</f>
        <v>0010</v>
      </c>
      <c r="E344" s="446" t="str">
        <f>MID(J344,12,4)</f>
        <v>3145</v>
      </c>
      <c r="F344" s="446" t="str">
        <f>MID(J344,16,1)</f>
        <v>2</v>
      </c>
      <c r="G344" s="447" t="str">
        <f>RIGHT(J344,4)</f>
        <v>0110</v>
      </c>
      <c r="H344" s="28"/>
      <c r="I344" s="112"/>
      <c r="J344" s="347" t="s">
        <v>1814</v>
      </c>
      <c r="K344" s="348"/>
      <c r="L344" s="103"/>
      <c r="M344" s="450"/>
      <c r="N344" s="81"/>
      <c r="O344" s="478"/>
      <c r="P344" s="479"/>
      <c r="Q344" s="479"/>
      <c r="R344" s="479"/>
      <c r="S344" s="480"/>
      <c r="T344" s="481"/>
      <c r="U344" s="481"/>
      <c r="V344" s="481"/>
      <c r="W344" s="481"/>
      <c r="X344" s="481"/>
      <c r="Y344" s="481"/>
      <c r="Z344" s="481"/>
      <c r="AA344" s="481"/>
      <c r="AB344" s="481"/>
      <c r="AC344" s="481"/>
      <c r="AD344" s="481"/>
      <c r="AE344" s="481"/>
      <c r="AF344" s="481"/>
      <c r="AG344" s="481"/>
      <c r="AH344" s="481"/>
      <c r="AI344" s="481"/>
      <c r="AJ344" s="481"/>
      <c r="AK344" s="481"/>
      <c r="AL344" s="481"/>
      <c r="AM344" s="481"/>
      <c r="AN344" s="481"/>
      <c r="AO344" s="481"/>
      <c r="AP344" s="481"/>
      <c r="AQ344" s="481"/>
      <c r="AR344" s="481"/>
      <c r="AS344" s="481"/>
      <c r="AT344" s="508"/>
      <c r="AU344" s="547"/>
      <c r="AV344" s="481"/>
      <c r="AW344" s="481"/>
      <c r="AX344" s="28"/>
      <c r="AY344" s="10"/>
    </row>
    <row r="345" spans="1:51" ht="14.25">
      <c r="A345" s="40" t="str">
        <f t="shared" ref="A345:A361" si="14">LEFT(J345,2)</f>
        <v/>
      </c>
      <c r="B345" s="12"/>
      <c r="C345" s="12" t="str">
        <f t="shared" ref="C345:C361" si="15">MID(J345,6,2)</f>
        <v/>
      </c>
      <c r="D345" s="455" t="str">
        <f t="shared" ref="D345:D361" si="16">MID(J345,8,4)</f>
        <v/>
      </c>
      <c r="E345" s="455" t="str">
        <f t="shared" ref="E345:E361" si="17">MID(J345,12,4)</f>
        <v/>
      </c>
      <c r="F345" s="455" t="str">
        <f t="shared" ref="F345:F361" si="18">MID(J345,16,1)</f>
        <v/>
      </c>
      <c r="G345" s="41" t="str">
        <f t="shared" ref="G345:G361" si="19">RIGHT(J345,4)</f>
        <v/>
      </c>
      <c r="H345" s="28"/>
      <c r="I345" s="112"/>
      <c r="J345" s="349"/>
      <c r="K345" s="350"/>
      <c r="L345" s="103"/>
      <c r="M345" s="458"/>
      <c r="N345" s="81"/>
      <c r="O345" s="483"/>
      <c r="P345" s="484"/>
      <c r="Q345" s="484"/>
      <c r="R345" s="484"/>
      <c r="S345" s="485"/>
      <c r="T345" s="486"/>
      <c r="U345" s="514"/>
      <c r="V345" s="514"/>
      <c r="W345" s="514"/>
      <c r="X345" s="514"/>
      <c r="Y345" s="514"/>
      <c r="Z345" s="514"/>
      <c r="AA345" s="514"/>
      <c r="AB345" s="514"/>
      <c r="AC345" s="514"/>
      <c r="AD345" s="514"/>
      <c r="AE345" s="514"/>
      <c r="AF345" s="514"/>
      <c r="AG345" s="514"/>
      <c r="AH345" s="514"/>
      <c r="AI345" s="514"/>
      <c r="AJ345" s="514"/>
      <c r="AK345" s="514"/>
      <c r="AL345" s="514"/>
      <c r="AM345" s="514"/>
      <c r="AN345" s="514"/>
      <c r="AO345" s="514"/>
      <c r="AP345" s="514"/>
      <c r="AQ345" s="514"/>
      <c r="AR345" s="514"/>
      <c r="AS345" s="514"/>
      <c r="AT345" s="515"/>
      <c r="AU345" s="103"/>
      <c r="AV345" s="516"/>
      <c r="AW345" s="515"/>
      <c r="AX345" s="28"/>
      <c r="AY345" s="10"/>
    </row>
    <row r="346" spans="1:51" ht="14.25">
      <c r="A346" s="40" t="str">
        <f t="shared" si="14"/>
        <v/>
      </c>
      <c r="B346" s="12"/>
      <c r="C346" s="12" t="str">
        <f t="shared" si="15"/>
        <v/>
      </c>
      <c r="D346" s="455" t="str">
        <f t="shared" si="16"/>
        <v/>
      </c>
      <c r="E346" s="455" t="str">
        <f t="shared" si="17"/>
        <v/>
      </c>
      <c r="F346" s="455" t="str">
        <f t="shared" si="18"/>
        <v/>
      </c>
      <c r="G346" s="41" t="str">
        <f t="shared" si="19"/>
        <v/>
      </c>
      <c r="H346" s="28"/>
      <c r="I346" s="112"/>
      <c r="J346" s="349"/>
      <c r="K346" s="350"/>
      <c r="L346" s="103"/>
      <c r="M346" s="458"/>
      <c r="N346" s="81"/>
      <c r="O346" s="483"/>
      <c r="P346" s="484"/>
      <c r="Q346" s="484"/>
      <c r="R346" s="484"/>
      <c r="S346" s="485"/>
      <c r="T346" s="486"/>
      <c r="U346" s="514"/>
      <c r="V346" s="514"/>
      <c r="W346" s="514"/>
      <c r="X346" s="514"/>
      <c r="Y346" s="514"/>
      <c r="Z346" s="514"/>
      <c r="AA346" s="514"/>
      <c r="AB346" s="514"/>
      <c r="AC346" s="514"/>
      <c r="AD346" s="514"/>
      <c r="AE346" s="514"/>
      <c r="AF346" s="514"/>
      <c r="AG346" s="514"/>
      <c r="AH346" s="514"/>
      <c r="AI346" s="514"/>
      <c r="AJ346" s="514"/>
      <c r="AK346" s="514"/>
      <c r="AL346" s="514"/>
      <c r="AM346" s="514"/>
      <c r="AN346" s="514"/>
      <c r="AO346" s="514"/>
      <c r="AP346" s="514"/>
      <c r="AQ346" s="514"/>
      <c r="AR346" s="514"/>
      <c r="AS346" s="514"/>
      <c r="AT346" s="515"/>
      <c r="AU346" s="103"/>
      <c r="AV346" s="516"/>
      <c r="AW346" s="515"/>
      <c r="AX346" s="28"/>
      <c r="AY346" s="10"/>
    </row>
    <row r="347" spans="1:51" ht="14.25" hidden="1">
      <c r="A347" s="40" t="str">
        <f t="shared" si="14"/>
        <v/>
      </c>
      <c r="B347" s="12"/>
      <c r="C347" s="12" t="str">
        <f t="shared" si="15"/>
        <v/>
      </c>
      <c r="D347" s="455" t="str">
        <f t="shared" si="16"/>
        <v/>
      </c>
      <c r="E347" s="455" t="str">
        <f t="shared" si="17"/>
        <v/>
      </c>
      <c r="F347" s="455" t="str">
        <f t="shared" si="18"/>
        <v/>
      </c>
      <c r="G347" s="41" t="str">
        <f t="shared" si="19"/>
        <v/>
      </c>
      <c r="H347" s="28"/>
      <c r="I347" s="112"/>
      <c r="J347" s="349"/>
      <c r="K347" s="350"/>
      <c r="L347" s="103"/>
      <c r="M347" s="458"/>
      <c r="N347" s="81"/>
      <c r="O347" s="483"/>
      <c r="P347" s="484"/>
      <c r="Q347" s="484"/>
      <c r="R347" s="484"/>
      <c r="S347" s="485"/>
      <c r="T347" s="486"/>
      <c r="U347" s="514"/>
      <c r="V347" s="514"/>
      <c r="W347" s="514"/>
      <c r="X347" s="514"/>
      <c r="Y347" s="514"/>
      <c r="Z347" s="514"/>
      <c r="AA347" s="514"/>
      <c r="AB347" s="514"/>
      <c r="AC347" s="514"/>
      <c r="AD347" s="514"/>
      <c r="AE347" s="514"/>
      <c r="AF347" s="514"/>
      <c r="AG347" s="514"/>
      <c r="AH347" s="514"/>
      <c r="AI347" s="514"/>
      <c r="AJ347" s="514"/>
      <c r="AK347" s="514"/>
      <c r="AL347" s="514"/>
      <c r="AM347" s="514"/>
      <c r="AN347" s="514"/>
      <c r="AO347" s="514"/>
      <c r="AP347" s="514"/>
      <c r="AQ347" s="514"/>
      <c r="AR347" s="514"/>
      <c r="AS347" s="514"/>
      <c r="AT347" s="515"/>
      <c r="AU347" s="103"/>
      <c r="AV347" s="516"/>
      <c r="AW347" s="515"/>
      <c r="AX347" s="28"/>
      <c r="AY347" s="10"/>
    </row>
    <row r="348" spans="1:51" ht="14.25" hidden="1">
      <c r="A348" s="40" t="str">
        <f t="shared" si="14"/>
        <v/>
      </c>
      <c r="B348" s="12"/>
      <c r="C348" s="12" t="str">
        <f t="shared" si="15"/>
        <v/>
      </c>
      <c r="D348" s="455" t="str">
        <f t="shared" si="16"/>
        <v/>
      </c>
      <c r="E348" s="455" t="str">
        <f t="shared" si="17"/>
        <v/>
      </c>
      <c r="F348" s="455" t="str">
        <f t="shared" si="18"/>
        <v/>
      </c>
      <c r="G348" s="41" t="str">
        <f t="shared" si="19"/>
        <v/>
      </c>
      <c r="H348" s="28"/>
      <c r="I348" s="112"/>
      <c r="J348" s="349"/>
      <c r="K348" s="350"/>
      <c r="L348" s="103"/>
      <c r="M348" s="458"/>
      <c r="N348" s="81"/>
      <c r="O348" s="483"/>
      <c r="P348" s="484"/>
      <c r="Q348" s="484"/>
      <c r="R348" s="484"/>
      <c r="S348" s="485"/>
      <c r="T348" s="486"/>
      <c r="U348" s="514"/>
      <c r="V348" s="514"/>
      <c r="W348" s="514"/>
      <c r="X348" s="514"/>
      <c r="Y348" s="514"/>
      <c r="Z348" s="514"/>
      <c r="AA348" s="514"/>
      <c r="AB348" s="514"/>
      <c r="AC348" s="514"/>
      <c r="AD348" s="514"/>
      <c r="AE348" s="514"/>
      <c r="AF348" s="514"/>
      <c r="AG348" s="514"/>
      <c r="AH348" s="514"/>
      <c r="AI348" s="514"/>
      <c r="AJ348" s="514"/>
      <c r="AK348" s="514"/>
      <c r="AL348" s="514"/>
      <c r="AM348" s="514"/>
      <c r="AN348" s="514"/>
      <c r="AO348" s="514"/>
      <c r="AP348" s="514"/>
      <c r="AQ348" s="514"/>
      <c r="AR348" s="514"/>
      <c r="AS348" s="514"/>
      <c r="AT348" s="515"/>
      <c r="AU348" s="103"/>
      <c r="AV348" s="516"/>
      <c r="AW348" s="515"/>
      <c r="AX348" s="28"/>
      <c r="AY348" s="10"/>
    </row>
    <row r="349" spans="1:51" ht="14.25" hidden="1">
      <c r="A349" s="40" t="str">
        <f t="shared" si="14"/>
        <v/>
      </c>
      <c r="B349" s="12"/>
      <c r="C349" s="12" t="str">
        <f t="shared" si="15"/>
        <v/>
      </c>
      <c r="D349" s="455" t="str">
        <f t="shared" si="16"/>
        <v/>
      </c>
      <c r="E349" s="455" t="str">
        <f t="shared" si="17"/>
        <v/>
      </c>
      <c r="F349" s="455" t="str">
        <f t="shared" si="18"/>
        <v/>
      </c>
      <c r="G349" s="41" t="str">
        <f t="shared" si="19"/>
        <v/>
      </c>
      <c r="H349" s="28"/>
      <c r="I349" s="112"/>
      <c r="J349" s="349"/>
      <c r="K349" s="350"/>
      <c r="L349" s="103"/>
      <c r="M349" s="458"/>
      <c r="N349" s="81"/>
      <c r="O349" s="483"/>
      <c r="P349" s="484"/>
      <c r="Q349" s="484"/>
      <c r="R349" s="484"/>
      <c r="S349" s="485"/>
      <c r="T349" s="486"/>
      <c r="U349" s="514"/>
      <c r="V349" s="514"/>
      <c r="W349" s="514"/>
      <c r="X349" s="514"/>
      <c r="Y349" s="514"/>
      <c r="Z349" s="514"/>
      <c r="AA349" s="514"/>
      <c r="AB349" s="514"/>
      <c r="AC349" s="514"/>
      <c r="AD349" s="514"/>
      <c r="AE349" s="514"/>
      <c r="AF349" s="514"/>
      <c r="AG349" s="514"/>
      <c r="AH349" s="514"/>
      <c r="AI349" s="514"/>
      <c r="AJ349" s="514"/>
      <c r="AK349" s="514"/>
      <c r="AL349" s="514"/>
      <c r="AM349" s="514"/>
      <c r="AN349" s="514"/>
      <c r="AO349" s="514"/>
      <c r="AP349" s="514"/>
      <c r="AQ349" s="514"/>
      <c r="AR349" s="514"/>
      <c r="AS349" s="514"/>
      <c r="AT349" s="515"/>
      <c r="AU349" s="103"/>
      <c r="AV349" s="516"/>
      <c r="AW349" s="515"/>
      <c r="AX349" s="28"/>
      <c r="AY349" s="10"/>
    </row>
    <row r="350" spans="1:51" ht="14.25" hidden="1">
      <c r="A350" s="40" t="str">
        <f t="shared" si="14"/>
        <v/>
      </c>
      <c r="B350" s="12"/>
      <c r="C350" s="12" t="str">
        <f t="shared" si="15"/>
        <v/>
      </c>
      <c r="D350" s="455" t="str">
        <f t="shared" si="16"/>
        <v/>
      </c>
      <c r="E350" s="455" t="str">
        <f t="shared" si="17"/>
        <v/>
      </c>
      <c r="F350" s="455" t="str">
        <f t="shared" si="18"/>
        <v/>
      </c>
      <c r="G350" s="41" t="str">
        <f t="shared" si="19"/>
        <v/>
      </c>
      <c r="H350" s="28"/>
      <c r="I350" s="112"/>
      <c r="J350" s="349"/>
      <c r="K350" s="350"/>
      <c r="L350" s="103"/>
      <c r="M350" s="458"/>
      <c r="N350" s="81"/>
      <c r="O350" s="483"/>
      <c r="P350" s="484"/>
      <c r="Q350" s="484"/>
      <c r="R350" s="484"/>
      <c r="S350" s="485"/>
      <c r="T350" s="486"/>
      <c r="U350" s="514"/>
      <c r="V350" s="514"/>
      <c r="W350" s="514"/>
      <c r="X350" s="514"/>
      <c r="Y350" s="514"/>
      <c r="Z350" s="514"/>
      <c r="AA350" s="514"/>
      <c r="AB350" s="514"/>
      <c r="AC350" s="514"/>
      <c r="AD350" s="514"/>
      <c r="AE350" s="514"/>
      <c r="AF350" s="514"/>
      <c r="AG350" s="514"/>
      <c r="AH350" s="514"/>
      <c r="AI350" s="514"/>
      <c r="AJ350" s="514"/>
      <c r="AK350" s="514"/>
      <c r="AL350" s="514"/>
      <c r="AM350" s="514"/>
      <c r="AN350" s="514"/>
      <c r="AO350" s="514"/>
      <c r="AP350" s="514"/>
      <c r="AQ350" s="514"/>
      <c r="AR350" s="514"/>
      <c r="AS350" s="514"/>
      <c r="AT350" s="515"/>
      <c r="AU350" s="103"/>
      <c r="AV350" s="516"/>
      <c r="AW350" s="515"/>
      <c r="AX350" s="28"/>
      <c r="AY350" s="10"/>
    </row>
    <row r="351" spans="1:51" ht="14.25" hidden="1">
      <c r="A351" s="40" t="str">
        <f t="shared" si="14"/>
        <v/>
      </c>
      <c r="B351" s="12"/>
      <c r="C351" s="12" t="str">
        <f t="shared" si="15"/>
        <v/>
      </c>
      <c r="D351" s="455" t="str">
        <f t="shared" si="16"/>
        <v/>
      </c>
      <c r="E351" s="455" t="str">
        <f t="shared" si="17"/>
        <v/>
      </c>
      <c r="F351" s="455" t="str">
        <f t="shared" si="18"/>
        <v/>
      </c>
      <c r="G351" s="41" t="str">
        <f t="shared" si="19"/>
        <v/>
      </c>
      <c r="H351" s="28"/>
      <c r="I351" s="112"/>
      <c r="J351" s="349"/>
      <c r="K351" s="350"/>
      <c r="L351" s="103"/>
      <c r="M351" s="458"/>
      <c r="N351" s="81"/>
      <c r="O351" s="483"/>
      <c r="P351" s="484"/>
      <c r="Q351" s="484"/>
      <c r="R351" s="484"/>
      <c r="S351" s="485"/>
      <c r="T351" s="486"/>
      <c r="U351" s="514"/>
      <c r="V351" s="514"/>
      <c r="W351" s="514"/>
      <c r="X351" s="514"/>
      <c r="Y351" s="514"/>
      <c r="Z351" s="514"/>
      <c r="AA351" s="514"/>
      <c r="AB351" s="514"/>
      <c r="AC351" s="514"/>
      <c r="AD351" s="514"/>
      <c r="AE351" s="514"/>
      <c r="AF351" s="514"/>
      <c r="AG351" s="514"/>
      <c r="AH351" s="514"/>
      <c r="AI351" s="514"/>
      <c r="AJ351" s="514"/>
      <c r="AK351" s="514"/>
      <c r="AL351" s="514"/>
      <c r="AM351" s="514"/>
      <c r="AN351" s="514"/>
      <c r="AO351" s="514"/>
      <c r="AP351" s="514"/>
      <c r="AQ351" s="514"/>
      <c r="AR351" s="514"/>
      <c r="AS351" s="514"/>
      <c r="AT351" s="515"/>
      <c r="AU351" s="103"/>
      <c r="AV351" s="516"/>
      <c r="AW351" s="515"/>
      <c r="AX351" s="28"/>
      <c r="AY351" s="10"/>
    </row>
    <row r="352" spans="1:51" ht="14.25" hidden="1">
      <c r="A352" s="40" t="str">
        <f t="shared" si="14"/>
        <v/>
      </c>
      <c r="B352" s="12"/>
      <c r="C352" s="12" t="str">
        <f t="shared" si="15"/>
        <v/>
      </c>
      <c r="D352" s="455" t="str">
        <f t="shared" si="16"/>
        <v/>
      </c>
      <c r="E352" s="455" t="str">
        <f t="shared" si="17"/>
        <v/>
      </c>
      <c r="F352" s="455" t="str">
        <f t="shared" si="18"/>
        <v/>
      </c>
      <c r="G352" s="41" t="str">
        <f t="shared" si="19"/>
        <v/>
      </c>
      <c r="H352" s="28"/>
      <c r="I352" s="112"/>
      <c r="J352" s="349"/>
      <c r="K352" s="350"/>
      <c r="L352" s="103"/>
      <c r="M352" s="458"/>
      <c r="N352" s="81"/>
      <c r="O352" s="483"/>
      <c r="P352" s="484"/>
      <c r="Q352" s="484"/>
      <c r="R352" s="484"/>
      <c r="S352" s="485"/>
      <c r="T352" s="486"/>
      <c r="U352" s="514"/>
      <c r="V352" s="514"/>
      <c r="W352" s="514"/>
      <c r="X352" s="514"/>
      <c r="Y352" s="514"/>
      <c r="Z352" s="514"/>
      <c r="AA352" s="514"/>
      <c r="AB352" s="514"/>
      <c r="AC352" s="514"/>
      <c r="AD352" s="514"/>
      <c r="AE352" s="514"/>
      <c r="AF352" s="514"/>
      <c r="AG352" s="514"/>
      <c r="AH352" s="514"/>
      <c r="AI352" s="514"/>
      <c r="AJ352" s="514"/>
      <c r="AK352" s="514"/>
      <c r="AL352" s="514"/>
      <c r="AM352" s="514"/>
      <c r="AN352" s="514"/>
      <c r="AO352" s="514"/>
      <c r="AP352" s="514"/>
      <c r="AQ352" s="514"/>
      <c r="AR352" s="514"/>
      <c r="AS352" s="514"/>
      <c r="AT352" s="515"/>
      <c r="AU352" s="103"/>
      <c r="AV352" s="516"/>
      <c r="AW352" s="515"/>
      <c r="AX352" s="28"/>
      <c r="AY352" s="10"/>
    </row>
    <row r="353" spans="1:51" ht="14.25" hidden="1">
      <c r="A353" s="40" t="str">
        <f t="shared" si="14"/>
        <v/>
      </c>
      <c r="B353" s="12"/>
      <c r="C353" s="12" t="str">
        <f t="shared" si="15"/>
        <v/>
      </c>
      <c r="D353" s="455" t="str">
        <f t="shared" si="16"/>
        <v/>
      </c>
      <c r="E353" s="455" t="str">
        <f t="shared" si="17"/>
        <v/>
      </c>
      <c r="F353" s="455" t="str">
        <f t="shared" si="18"/>
        <v/>
      </c>
      <c r="G353" s="41" t="str">
        <f t="shared" si="19"/>
        <v/>
      </c>
      <c r="H353" s="28"/>
      <c r="I353" s="112"/>
      <c r="J353" s="349"/>
      <c r="K353" s="350"/>
      <c r="L353" s="103"/>
      <c r="M353" s="458"/>
      <c r="N353" s="81"/>
      <c r="O353" s="483"/>
      <c r="P353" s="484"/>
      <c r="Q353" s="484"/>
      <c r="R353" s="484"/>
      <c r="S353" s="485"/>
      <c r="T353" s="486"/>
      <c r="U353" s="514"/>
      <c r="V353" s="514"/>
      <c r="W353" s="514"/>
      <c r="X353" s="514"/>
      <c r="Y353" s="514"/>
      <c r="Z353" s="514"/>
      <c r="AA353" s="514"/>
      <c r="AB353" s="514"/>
      <c r="AC353" s="514"/>
      <c r="AD353" s="514"/>
      <c r="AE353" s="514"/>
      <c r="AF353" s="514"/>
      <c r="AG353" s="514"/>
      <c r="AH353" s="514"/>
      <c r="AI353" s="514"/>
      <c r="AJ353" s="514"/>
      <c r="AK353" s="514"/>
      <c r="AL353" s="514"/>
      <c r="AM353" s="514"/>
      <c r="AN353" s="514"/>
      <c r="AO353" s="514"/>
      <c r="AP353" s="514"/>
      <c r="AQ353" s="514"/>
      <c r="AR353" s="514"/>
      <c r="AS353" s="514"/>
      <c r="AT353" s="515"/>
      <c r="AU353" s="103"/>
      <c r="AV353" s="516"/>
      <c r="AW353" s="515"/>
      <c r="AX353" s="28"/>
      <c r="AY353" s="10"/>
    </row>
    <row r="354" spans="1:51" ht="14.25" hidden="1">
      <c r="A354" s="40" t="str">
        <f t="shared" si="14"/>
        <v/>
      </c>
      <c r="B354" s="12"/>
      <c r="C354" s="12" t="str">
        <f t="shared" si="15"/>
        <v/>
      </c>
      <c r="D354" s="455" t="str">
        <f t="shared" si="16"/>
        <v/>
      </c>
      <c r="E354" s="455" t="str">
        <f t="shared" si="17"/>
        <v/>
      </c>
      <c r="F354" s="455" t="str">
        <f t="shared" si="18"/>
        <v/>
      </c>
      <c r="G354" s="41" t="str">
        <f t="shared" si="19"/>
        <v/>
      </c>
      <c r="H354" s="28"/>
      <c r="I354" s="112"/>
      <c r="J354" s="349"/>
      <c r="K354" s="350"/>
      <c r="L354" s="103"/>
      <c r="M354" s="458"/>
      <c r="N354" s="81"/>
      <c r="O354" s="483"/>
      <c r="P354" s="484"/>
      <c r="Q354" s="484"/>
      <c r="R354" s="484"/>
      <c r="S354" s="485"/>
      <c r="T354" s="486"/>
      <c r="U354" s="514"/>
      <c r="V354" s="514"/>
      <c r="W354" s="514"/>
      <c r="X354" s="514"/>
      <c r="Y354" s="514"/>
      <c r="Z354" s="514"/>
      <c r="AA354" s="514"/>
      <c r="AB354" s="514"/>
      <c r="AC354" s="514"/>
      <c r="AD354" s="514"/>
      <c r="AE354" s="514"/>
      <c r="AF354" s="514"/>
      <c r="AG354" s="514"/>
      <c r="AH354" s="514"/>
      <c r="AI354" s="514"/>
      <c r="AJ354" s="514"/>
      <c r="AK354" s="514"/>
      <c r="AL354" s="514"/>
      <c r="AM354" s="514"/>
      <c r="AN354" s="514"/>
      <c r="AO354" s="514"/>
      <c r="AP354" s="514"/>
      <c r="AQ354" s="514"/>
      <c r="AR354" s="514"/>
      <c r="AS354" s="514"/>
      <c r="AT354" s="515"/>
      <c r="AU354" s="103"/>
      <c r="AV354" s="516"/>
      <c r="AW354" s="515"/>
      <c r="AX354" s="28"/>
      <c r="AY354" s="10"/>
    </row>
    <row r="355" spans="1:51" ht="14.25" hidden="1">
      <c r="A355" s="40" t="str">
        <f t="shared" si="14"/>
        <v/>
      </c>
      <c r="B355" s="12"/>
      <c r="C355" s="12" t="str">
        <f t="shared" si="15"/>
        <v/>
      </c>
      <c r="D355" s="455" t="str">
        <f t="shared" si="16"/>
        <v/>
      </c>
      <c r="E355" s="455" t="str">
        <f t="shared" si="17"/>
        <v/>
      </c>
      <c r="F355" s="455" t="str">
        <f t="shared" si="18"/>
        <v/>
      </c>
      <c r="G355" s="41" t="str">
        <f t="shared" si="19"/>
        <v/>
      </c>
      <c r="H355" s="28"/>
      <c r="I355" s="112"/>
      <c r="J355" s="349"/>
      <c r="K355" s="350"/>
      <c r="L355" s="103"/>
      <c r="M355" s="458"/>
      <c r="N355" s="81"/>
      <c r="O355" s="483"/>
      <c r="P355" s="484"/>
      <c r="Q355" s="484"/>
      <c r="R355" s="484"/>
      <c r="S355" s="485"/>
      <c r="T355" s="486"/>
      <c r="U355" s="514"/>
      <c r="V355" s="514"/>
      <c r="W355" s="514"/>
      <c r="X355" s="514"/>
      <c r="Y355" s="514"/>
      <c r="Z355" s="514"/>
      <c r="AA355" s="514"/>
      <c r="AB355" s="514"/>
      <c r="AC355" s="514"/>
      <c r="AD355" s="514"/>
      <c r="AE355" s="514"/>
      <c r="AF355" s="514"/>
      <c r="AG355" s="514"/>
      <c r="AH355" s="514"/>
      <c r="AI355" s="514"/>
      <c r="AJ355" s="514"/>
      <c r="AK355" s="514"/>
      <c r="AL355" s="514"/>
      <c r="AM355" s="514"/>
      <c r="AN355" s="514"/>
      <c r="AO355" s="514"/>
      <c r="AP355" s="514"/>
      <c r="AQ355" s="514"/>
      <c r="AR355" s="514"/>
      <c r="AS355" s="514"/>
      <c r="AT355" s="515"/>
      <c r="AU355" s="103"/>
      <c r="AV355" s="516"/>
      <c r="AW355" s="515"/>
      <c r="AX355" s="28"/>
      <c r="AY355" s="10"/>
    </row>
    <row r="356" spans="1:51" ht="14.25" hidden="1">
      <c r="A356" s="40" t="str">
        <f t="shared" si="14"/>
        <v/>
      </c>
      <c r="B356" s="12"/>
      <c r="C356" s="12" t="str">
        <f t="shared" si="15"/>
        <v/>
      </c>
      <c r="D356" s="455" t="str">
        <f t="shared" si="16"/>
        <v/>
      </c>
      <c r="E356" s="455" t="str">
        <f t="shared" si="17"/>
        <v/>
      </c>
      <c r="F356" s="455" t="str">
        <f t="shared" si="18"/>
        <v/>
      </c>
      <c r="G356" s="41" t="str">
        <f t="shared" si="19"/>
        <v/>
      </c>
      <c r="H356" s="28"/>
      <c r="I356" s="112"/>
      <c r="J356" s="349"/>
      <c r="K356" s="350"/>
      <c r="L356" s="103"/>
      <c r="M356" s="458"/>
      <c r="N356" s="81"/>
      <c r="O356" s="483"/>
      <c r="P356" s="484"/>
      <c r="Q356" s="484"/>
      <c r="R356" s="484"/>
      <c r="S356" s="485"/>
      <c r="T356" s="486"/>
      <c r="U356" s="514"/>
      <c r="V356" s="514"/>
      <c r="W356" s="514"/>
      <c r="X356" s="514"/>
      <c r="Y356" s="514"/>
      <c r="Z356" s="514"/>
      <c r="AA356" s="514"/>
      <c r="AB356" s="514"/>
      <c r="AC356" s="514"/>
      <c r="AD356" s="514"/>
      <c r="AE356" s="514"/>
      <c r="AF356" s="514"/>
      <c r="AG356" s="514"/>
      <c r="AH356" s="514"/>
      <c r="AI356" s="514"/>
      <c r="AJ356" s="514"/>
      <c r="AK356" s="514"/>
      <c r="AL356" s="514"/>
      <c r="AM356" s="514"/>
      <c r="AN356" s="514"/>
      <c r="AO356" s="514"/>
      <c r="AP356" s="514"/>
      <c r="AQ356" s="514"/>
      <c r="AR356" s="514"/>
      <c r="AS356" s="514"/>
      <c r="AT356" s="515"/>
      <c r="AU356" s="103"/>
      <c r="AV356" s="516"/>
      <c r="AW356" s="515"/>
      <c r="AX356" s="28"/>
      <c r="AY356" s="10"/>
    </row>
    <row r="357" spans="1:51" ht="14.25" hidden="1">
      <c r="A357" s="40" t="str">
        <f t="shared" si="14"/>
        <v/>
      </c>
      <c r="B357" s="12"/>
      <c r="C357" s="12" t="str">
        <f t="shared" si="15"/>
        <v/>
      </c>
      <c r="D357" s="455" t="str">
        <f t="shared" si="16"/>
        <v/>
      </c>
      <c r="E357" s="455" t="str">
        <f t="shared" si="17"/>
        <v/>
      </c>
      <c r="F357" s="455" t="str">
        <f t="shared" si="18"/>
        <v/>
      </c>
      <c r="G357" s="41" t="str">
        <f t="shared" si="19"/>
        <v/>
      </c>
      <c r="H357" s="28"/>
      <c r="I357" s="112"/>
      <c r="J357" s="349"/>
      <c r="K357" s="350"/>
      <c r="L357" s="103"/>
      <c r="M357" s="458"/>
      <c r="N357" s="81"/>
      <c r="O357" s="483"/>
      <c r="P357" s="484"/>
      <c r="Q357" s="484"/>
      <c r="R357" s="484"/>
      <c r="S357" s="485"/>
      <c r="T357" s="486"/>
      <c r="U357" s="514"/>
      <c r="V357" s="514"/>
      <c r="W357" s="514"/>
      <c r="X357" s="514"/>
      <c r="Y357" s="514"/>
      <c r="Z357" s="514"/>
      <c r="AA357" s="514"/>
      <c r="AB357" s="514"/>
      <c r="AC357" s="514"/>
      <c r="AD357" s="514"/>
      <c r="AE357" s="514"/>
      <c r="AF357" s="514"/>
      <c r="AG357" s="514"/>
      <c r="AH357" s="514"/>
      <c r="AI357" s="514"/>
      <c r="AJ357" s="514"/>
      <c r="AK357" s="514"/>
      <c r="AL357" s="514"/>
      <c r="AM357" s="514"/>
      <c r="AN357" s="514"/>
      <c r="AO357" s="514"/>
      <c r="AP357" s="514"/>
      <c r="AQ357" s="514"/>
      <c r="AR357" s="514"/>
      <c r="AS357" s="514"/>
      <c r="AT357" s="515"/>
      <c r="AU357" s="103"/>
      <c r="AV357" s="516"/>
      <c r="AW357" s="515"/>
      <c r="AX357" s="28"/>
      <c r="AY357" s="10"/>
    </row>
    <row r="358" spans="1:51" ht="14.25" hidden="1">
      <c r="A358" s="40" t="str">
        <f t="shared" si="14"/>
        <v/>
      </c>
      <c r="B358" s="12"/>
      <c r="C358" s="12" t="str">
        <f t="shared" si="15"/>
        <v/>
      </c>
      <c r="D358" s="455" t="str">
        <f t="shared" si="16"/>
        <v/>
      </c>
      <c r="E358" s="455" t="str">
        <f t="shared" si="17"/>
        <v/>
      </c>
      <c r="F358" s="455" t="str">
        <f t="shared" si="18"/>
        <v/>
      </c>
      <c r="G358" s="41" t="str">
        <f t="shared" si="19"/>
        <v/>
      </c>
      <c r="H358" s="28"/>
      <c r="I358" s="112"/>
      <c r="J358" s="349"/>
      <c r="K358" s="350"/>
      <c r="L358" s="103"/>
      <c r="M358" s="458"/>
      <c r="N358" s="81"/>
      <c r="O358" s="483"/>
      <c r="P358" s="484"/>
      <c r="Q358" s="484"/>
      <c r="R358" s="484"/>
      <c r="S358" s="485"/>
      <c r="T358" s="486"/>
      <c r="U358" s="514"/>
      <c r="V358" s="514"/>
      <c r="W358" s="514"/>
      <c r="X358" s="514"/>
      <c r="Y358" s="514"/>
      <c r="Z358" s="514"/>
      <c r="AA358" s="514"/>
      <c r="AB358" s="514"/>
      <c r="AC358" s="514"/>
      <c r="AD358" s="514"/>
      <c r="AE358" s="514"/>
      <c r="AF358" s="514"/>
      <c r="AG358" s="514"/>
      <c r="AH358" s="514"/>
      <c r="AI358" s="514"/>
      <c r="AJ358" s="514"/>
      <c r="AK358" s="514"/>
      <c r="AL358" s="514"/>
      <c r="AM358" s="514"/>
      <c r="AN358" s="514"/>
      <c r="AO358" s="514"/>
      <c r="AP358" s="514"/>
      <c r="AQ358" s="514"/>
      <c r="AR358" s="514"/>
      <c r="AS358" s="514"/>
      <c r="AT358" s="515"/>
      <c r="AU358" s="103"/>
      <c r="AV358" s="516"/>
      <c r="AW358" s="515"/>
      <c r="AX358" s="28"/>
      <c r="AY358" s="10"/>
    </row>
    <row r="359" spans="1:51" ht="14.25" hidden="1">
      <c r="A359" s="40" t="str">
        <f t="shared" si="14"/>
        <v/>
      </c>
      <c r="B359" s="12"/>
      <c r="C359" s="12" t="str">
        <f t="shared" si="15"/>
        <v/>
      </c>
      <c r="D359" s="455" t="str">
        <f t="shared" si="16"/>
        <v/>
      </c>
      <c r="E359" s="455" t="str">
        <f t="shared" si="17"/>
        <v/>
      </c>
      <c r="F359" s="455" t="str">
        <f t="shared" si="18"/>
        <v/>
      </c>
      <c r="G359" s="41" t="str">
        <f t="shared" si="19"/>
        <v/>
      </c>
      <c r="H359" s="28"/>
      <c r="I359" s="112"/>
      <c r="J359" s="349"/>
      <c r="K359" s="350"/>
      <c r="L359" s="103"/>
      <c r="M359" s="458"/>
      <c r="N359" s="81"/>
      <c r="O359" s="483"/>
      <c r="P359" s="484"/>
      <c r="Q359" s="484"/>
      <c r="R359" s="484"/>
      <c r="S359" s="485"/>
      <c r="T359" s="486"/>
      <c r="U359" s="514"/>
      <c r="V359" s="514"/>
      <c r="W359" s="514"/>
      <c r="X359" s="514"/>
      <c r="Y359" s="514"/>
      <c r="Z359" s="514"/>
      <c r="AA359" s="514"/>
      <c r="AB359" s="514"/>
      <c r="AC359" s="514"/>
      <c r="AD359" s="514"/>
      <c r="AE359" s="514"/>
      <c r="AF359" s="514"/>
      <c r="AG359" s="514"/>
      <c r="AH359" s="514"/>
      <c r="AI359" s="514"/>
      <c r="AJ359" s="514"/>
      <c r="AK359" s="514"/>
      <c r="AL359" s="514"/>
      <c r="AM359" s="514"/>
      <c r="AN359" s="514"/>
      <c r="AO359" s="514"/>
      <c r="AP359" s="514"/>
      <c r="AQ359" s="514"/>
      <c r="AR359" s="514"/>
      <c r="AS359" s="514"/>
      <c r="AT359" s="515"/>
      <c r="AU359" s="103"/>
      <c r="AV359" s="516"/>
      <c r="AW359" s="515"/>
      <c r="AX359" s="28"/>
      <c r="AY359" s="10"/>
    </row>
    <row r="360" spans="1:51" ht="14.25" hidden="1">
      <c r="A360" s="40" t="str">
        <f t="shared" si="14"/>
        <v/>
      </c>
      <c r="B360" s="12"/>
      <c r="C360" s="12" t="str">
        <f t="shared" si="15"/>
        <v/>
      </c>
      <c r="D360" s="455" t="str">
        <f t="shared" si="16"/>
        <v/>
      </c>
      <c r="E360" s="455" t="str">
        <f t="shared" si="17"/>
        <v/>
      </c>
      <c r="F360" s="455" t="str">
        <f t="shared" si="18"/>
        <v/>
      </c>
      <c r="G360" s="41" t="str">
        <f t="shared" si="19"/>
        <v/>
      </c>
      <c r="H360" s="28"/>
      <c r="I360" s="112"/>
      <c r="J360" s="349"/>
      <c r="K360" s="350"/>
      <c r="L360" s="103"/>
      <c r="M360" s="458"/>
      <c r="N360" s="81"/>
      <c r="O360" s="483"/>
      <c r="P360" s="484"/>
      <c r="Q360" s="484"/>
      <c r="R360" s="484"/>
      <c r="S360" s="485"/>
      <c r="T360" s="486"/>
      <c r="U360" s="514"/>
      <c r="V360" s="514"/>
      <c r="W360" s="514"/>
      <c r="X360" s="514"/>
      <c r="Y360" s="514"/>
      <c r="Z360" s="514"/>
      <c r="AA360" s="514"/>
      <c r="AB360" s="514"/>
      <c r="AC360" s="514"/>
      <c r="AD360" s="514"/>
      <c r="AE360" s="514"/>
      <c r="AF360" s="514"/>
      <c r="AG360" s="514"/>
      <c r="AH360" s="514"/>
      <c r="AI360" s="514"/>
      <c r="AJ360" s="514"/>
      <c r="AK360" s="514"/>
      <c r="AL360" s="514"/>
      <c r="AM360" s="514"/>
      <c r="AN360" s="514"/>
      <c r="AO360" s="514"/>
      <c r="AP360" s="514"/>
      <c r="AQ360" s="514"/>
      <c r="AR360" s="514"/>
      <c r="AS360" s="514"/>
      <c r="AT360" s="515"/>
      <c r="AU360" s="103"/>
      <c r="AV360" s="516"/>
      <c r="AW360" s="515"/>
      <c r="AX360" s="28"/>
      <c r="AY360" s="10"/>
    </row>
    <row r="361" spans="1:51" ht="14.25">
      <c r="A361" s="45" t="str">
        <f t="shared" si="14"/>
        <v/>
      </c>
      <c r="B361" s="46"/>
      <c r="C361" s="46" t="str">
        <f t="shared" si="15"/>
        <v/>
      </c>
      <c r="D361" s="476" t="str">
        <f t="shared" si="16"/>
        <v/>
      </c>
      <c r="E361" s="476" t="str">
        <f t="shared" si="17"/>
        <v/>
      </c>
      <c r="F361" s="476" t="str">
        <f t="shared" si="18"/>
        <v/>
      </c>
      <c r="G361" s="47" t="str">
        <f t="shared" si="19"/>
        <v/>
      </c>
      <c r="H361" s="28"/>
      <c r="I361" s="112"/>
      <c r="J361" s="351"/>
      <c r="K361" s="352"/>
      <c r="L361" s="103"/>
      <c r="M361" s="464"/>
      <c r="N361" s="81"/>
      <c r="O361" s="498"/>
      <c r="P361" s="499"/>
      <c r="Q361" s="499"/>
      <c r="R361" s="499"/>
      <c r="S361" s="500"/>
      <c r="T361" s="503"/>
      <c r="U361" s="519"/>
      <c r="V361" s="519"/>
      <c r="W361" s="519"/>
      <c r="X361" s="519"/>
      <c r="Y361" s="519"/>
      <c r="Z361" s="519"/>
      <c r="AA361" s="519"/>
      <c r="AB361" s="519"/>
      <c r="AC361" s="519"/>
      <c r="AD361" s="519"/>
      <c r="AE361" s="519"/>
      <c r="AF361" s="519"/>
      <c r="AG361" s="519"/>
      <c r="AH361" s="519"/>
      <c r="AI361" s="519"/>
      <c r="AJ361" s="519"/>
      <c r="AK361" s="519"/>
      <c r="AL361" s="519"/>
      <c r="AM361" s="519"/>
      <c r="AN361" s="519"/>
      <c r="AO361" s="519"/>
      <c r="AP361" s="519"/>
      <c r="AQ361" s="519"/>
      <c r="AR361" s="519"/>
      <c r="AS361" s="519"/>
      <c r="AT361" s="520"/>
      <c r="AU361" s="103"/>
      <c r="AV361" s="521"/>
      <c r="AW361" s="520"/>
      <c r="AX361" s="28"/>
      <c r="AY361" s="10"/>
    </row>
    <row r="362" spans="1:51" ht="14.25">
      <c r="A362" s="92"/>
      <c r="B362" s="92"/>
      <c r="C362" s="92"/>
      <c r="D362" s="91"/>
      <c r="E362" s="91"/>
      <c r="F362" s="91"/>
      <c r="G362" s="92"/>
      <c r="H362" s="10"/>
      <c r="I362" s="112"/>
      <c r="J362" s="469" t="s">
        <v>1815</v>
      </c>
      <c r="K362" s="525"/>
      <c r="L362" s="103"/>
      <c r="M362" s="471"/>
      <c r="N362" s="81"/>
      <c r="O362" s="526">
        <f>SUM(O318:O361)</f>
        <v>0</v>
      </c>
      <c r="P362" s="527">
        <f>SUM(P318:P361)</f>
        <v>0</v>
      </c>
      <c r="Q362" s="527">
        <f>SUM(Q318:Q361)</f>
        <v>0</v>
      </c>
      <c r="R362" s="527">
        <f>SUM(R318:R361)</f>
        <v>0</v>
      </c>
      <c r="S362" s="531">
        <f>SUM(S318:S361)</f>
        <v>0</v>
      </c>
      <c r="T362" s="526">
        <f t="shared" ref="T362:AT362" si="20">SUM(T344:T361)</f>
        <v>0</v>
      </c>
      <c r="U362" s="473">
        <f t="shared" si="20"/>
        <v>0</v>
      </c>
      <c r="V362" s="473">
        <f t="shared" si="20"/>
        <v>0</v>
      </c>
      <c r="W362" s="473">
        <f t="shared" si="20"/>
        <v>0</v>
      </c>
      <c r="X362" s="473">
        <f t="shared" si="20"/>
        <v>0</v>
      </c>
      <c r="Y362" s="473">
        <f t="shared" si="20"/>
        <v>0</v>
      </c>
      <c r="Z362" s="473">
        <f t="shared" si="20"/>
        <v>0</v>
      </c>
      <c r="AA362" s="473">
        <f t="shared" si="20"/>
        <v>0</v>
      </c>
      <c r="AB362" s="473">
        <f t="shared" si="20"/>
        <v>0</v>
      </c>
      <c r="AC362" s="473">
        <f t="shared" si="20"/>
        <v>0</v>
      </c>
      <c r="AD362" s="473">
        <f t="shared" si="20"/>
        <v>0</v>
      </c>
      <c r="AE362" s="473">
        <f t="shared" si="20"/>
        <v>0</v>
      </c>
      <c r="AF362" s="473">
        <f t="shared" si="20"/>
        <v>0</v>
      </c>
      <c r="AG362" s="473">
        <f t="shared" si="20"/>
        <v>0</v>
      </c>
      <c r="AH362" s="473">
        <f t="shared" si="20"/>
        <v>0</v>
      </c>
      <c r="AI362" s="473">
        <f t="shared" si="20"/>
        <v>0</v>
      </c>
      <c r="AJ362" s="473">
        <f t="shared" si="20"/>
        <v>0</v>
      </c>
      <c r="AK362" s="473">
        <f t="shared" si="20"/>
        <v>0</v>
      </c>
      <c r="AL362" s="473">
        <f t="shared" si="20"/>
        <v>0</v>
      </c>
      <c r="AM362" s="473">
        <f t="shared" si="20"/>
        <v>0</v>
      </c>
      <c r="AN362" s="473">
        <f t="shared" si="20"/>
        <v>0</v>
      </c>
      <c r="AO362" s="473">
        <f t="shared" si="20"/>
        <v>0</v>
      </c>
      <c r="AP362" s="473">
        <f t="shared" si="20"/>
        <v>0</v>
      </c>
      <c r="AQ362" s="473">
        <f t="shared" si="20"/>
        <v>0</v>
      </c>
      <c r="AR362" s="473">
        <f t="shared" si="20"/>
        <v>0</v>
      </c>
      <c r="AS362" s="473">
        <f t="shared" si="20"/>
        <v>0</v>
      </c>
      <c r="AT362" s="474">
        <f t="shared" si="20"/>
        <v>0</v>
      </c>
      <c r="AU362" s="475"/>
      <c r="AV362" s="472">
        <f>SUM(AV344:AV361)</f>
        <v>0</v>
      </c>
      <c r="AW362" s="474">
        <f>SUM(AW344:AW361)</f>
        <v>0</v>
      </c>
      <c r="AX362" s="28"/>
      <c r="AY362" s="10"/>
    </row>
    <row r="363" spans="1:51" ht="14.25">
      <c r="A363" s="10"/>
      <c r="B363" s="10"/>
      <c r="C363" s="10"/>
      <c r="D363" s="76"/>
      <c r="E363" s="76"/>
      <c r="F363" s="76"/>
      <c r="G363" s="10"/>
      <c r="H363" s="10"/>
      <c r="I363" s="76"/>
      <c r="J363" s="344"/>
      <c r="K363" s="344"/>
      <c r="L363" s="98"/>
      <c r="M363" s="240"/>
      <c r="N363" s="10"/>
      <c r="O363" s="346"/>
      <c r="P363" s="346"/>
      <c r="Q363" s="346"/>
      <c r="R363" s="346"/>
      <c r="S363" s="346"/>
      <c r="T363" s="346"/>
      <c r="U363" s="240"/>
      <c r="V363" s="240"/>
      <c r="W363" s="240"/>
      <c r="X363" s="240"/>
      <c r="Y363" s="240"/>
      <c r="Z363" s="240"/>
      <c r="AA363" s="240"/>
      <c r="AB363" s="240"/>
      <c r="AC363" s="240"/>
      <c r="AD363" s="240"/>
      <c r="AE363" s="240"/>
      <c r="AF363" s="240"/>
      <c r="AG363" s="240"/>
      <c r="AH363" s="240"/>
      <c r="AI363" s="240"/>
      <c r="AJ363" s="240"/>
      <c r="AK363" s="240"/>
      <c r="AL363" s="240"/>
      <c r="AM363" s="240"/>
      <c r="AN363" s="240"/>
      <c r="AO363" s="240"/>
      <c r="AP363" s="240"/>
      <c r="AQ363" s="240"/>
      <c r="AR363" s="240"/>
      <c r="AS363" s="240"/>
      <c r="AT363" s="240"/>
      <c r="AU363" s="324"/>
      <c r="AV363" s="240"/>
      <c r="AW363" s="240"/>
      <c r="AX363" s="10"/>
      <c r="AY363" s="10"/>
    </row>
    <row r="364" spans="1:51" ht="14.25">
      <c r="A364" s="403"/>
      <c r="B364" s="403"/>
      <c r="C364" s="403"/>
      <c r="D364" s="548"/>
      <c r="E364" s="548"/>
      <c r="F364" s="548"/>
      <c r="G364" s="403"/>
      <c r="H364" s="403"/>
      <c r="I364" s="549"/>
      <c r="J364" s="469" t="s">
        <v>355</v>
      </c>
      <c r="K364" s="550"/>
      <c r="L364" s="103"/>
      <c r="M364" s="471"/>
      <c r="N364" s="81"/>
      <c r="O364" s="526">
        <f>O38+O46+O83+O137+O180+O226+O256+O301+O342</f>
        <v>0</v>
      </c>
      <c r="P364" s="527">
        <f>P38+P46+P83+P137+P180+P226+P256+P301+P342</f>
        <v>0</v>
      </c>
      <c r="Q364" s="527">
        <f>Q38+Q46+Q83+Q137+Q180+Q226+Q256+Q301+Q342</f>
        <v>0</v>
      </c>
      <c r="R364" s="527">
        <f>R38+R46+R83+R137+R180+R226+R256+R301+R342</f>
        <v>0</v>
      </c>
      <c r="S364" s="531">
        <f>S38+S46+S83+S137+S180+S226+S256+S301+S342</f>
        <v>0</v>
      </c>
      <c r="T364" s="472">
        <f t="shared" ref="T364:AT364" si="21">T38+T46+T83+T137+T180+T226+T256+T301+T342+T362</f>
        <v>0</v>
      </c>
      <c r="U364" s="473">
        <f t="shared" si="21"/>
        <v>0</v>
      </c>
      <c r="V364" s="473">
        <f t="shared" si="21"/>
        <v>0</v>
      </c>
      <c r="W364" s="473">
        <f t="shared" si="21"/>
        <v>0</v>
      </c>
      <c r="X364" s="473">
        <f t="shared" si="21"/>
        <v>0</v>
      </c>
      <c r="Y364" s="473">
        <f t="shared" si="21"/>
        <v>0</v>
      </c>
      <c r="Z364" s="473">
        <f t="shared" si="21"/>
        <v>0</v>
      </c>
      <c r="AA364" s="473">
        <f t="shared" si="21"/>
        <v>0</v>
      </c>
      <c r="AB364" s="473">
        <f t="shared" si="21"/>
        <v>0</v>
      </c>
      <c r="AC364" s="473">
        <f t="shared" si="21"/>
        <v>0</v>
      </c>
      <c r="AD364" s="473">
        <f t="shared" si="21"/>
        <v>0</v>
      </c>
      <c r="AE364" s="473">
        <f t="shared" si="21"/>
        <v>0</v>
      </c>
      <c r="AF364" s="473">
        <f t="shared" si="21"/>
        <v>0</v>
      </c>
      <c r="AG364" s="473">
        <f t="shared" si="21"/>
        <v>0</v>
      </c>
      <c r="AH364" s="473">
        <f t="shared" si="21"/>
        <v>0</v>
      </c>
      <c r="AI364" s="473">
        <f t="shared" si="21"/>
        <v>0</v>
      </c>
      <c r="AJ364" s="473">
        <f t="shared" si="21"/>
        <v>0</v>
      </c>
      <c r="AK364" s="473">
        <f t="shared" si="21"/>
        <v>0</v>
      </c>
      <c r="AL364" s="473">
        <f t="shared" si="21"/>
        <v>0</v>
      </c>
      <c r="AM364" s="473">
        <f t="shared" si="21"/>
        <v>0</v>
      </c>
      <c r="AN364" s="473">
        <f t="shared" si="21"/>
        <v>0</v>
      </c>
      <c r="AO364" s="473">
        <f t="shared" si="21"/>
        <v>0</v>
      </c>
      <c r="AP364" s="473">
        <f t="shared" si="21"/>
        <v>0</v>
      </c>
      <c r="AQ364" s="473">
        <f t="shared" si="21"/>
        <v>0</v>
      </c>
      <c r="AR364" s="473">
        <f t="shared" si="21"/>
        <v>0</v>
      </c>
      <c r="AS364" s="473">
        <f t="shared" si="21"/>
        <v>0</v>
      </c>
      <c r="AT364" s="474">
        <f t="shared" si="21"/>
        <v>0</v>
      </c>
      <c r="AU364" s="475"/>
      <c r="AV364" s="472">
        <f>AV38+AV46+AV83+AV137+AV180+AV226+AV256+AV301+AV342+AV362</f>
        <v>0</v>
      </c>
      <c r="AW364" s="474">
        <f>AW38+AW46+AW83+AW137+AW180+AW226+AW256+AW301+AW342+AW362</f>
        <v>0</v>
      </c>
      <c r="AX364" s="28"/>
      <c r="AY364" s="10"/>
    </row>
    <row r="365" spans="1:51" ht="14.25">
      <c r="A365" s="10"/>
      <c r="B365" s="10"/>
      <c r="C365" s="10"/>
      <c r="D365" s="10"/>
      <c r="E365" s="10"/>
      <c r="F365" s="10"/>
      <c r="G365" s="10"/>
      <c r="H365" s="10"/>
      <c r="I365" s="10"/>
      <c r="J365" s="92"/>
      <c r="K365" s="92"/>
      <c r="L365" s="98"/>
      <c r="M365" s="413"/>
      <c r="N365" s="10"/>
      <c r="O365" s="92"/>
      <c r="P365" s="92"/>
      <c r="Q365" s="92"/>
      <c r="R365" s="92"/>
      <c r="S365" s="92"/>
      <c r="T365" s="92"/>
      <c r="U365" s="107"/>
      <c r="V365" s="107"/>
      <c r="W365" s="107"/>
      <c r="X365" s="107"/>
      <c r="Y365" s="107"/>
      <c r="Z365" s="107"/>
      <c r="AA365" s="107"/>
      <c r="AB365" s="107"/>
      <c r="AC365" s="107"/>
      <c r="AD365" s="107"/>
      <c r="AE365" s="107"/>
      <c r="AF365" s="107"/>
      <c r="AG365" s="107"/>
      <c r="AH365" s="107"/>
      <c r="AI365" s="107"/>
      <c r="AJ365" s="107"/>
      <c r="AK365" s="107"/>
      <c r="AL365" s="107"/>
      <c r="AM365" s="107"/>
      <c r="AN365" s="107"/>
      <c r="AO365" s="107"/>
      <c r="AP365" s="107"/>
      <c r="AQ365" s="107"/>
      <c r="AR365" s="107"/>
      <c r="AS365" s="107"/>
      <c r="AT365" s="107"/>
      <c r="AU365" s="98"/>
      <c r="AV365" s="107"/>
      <c r="AW365" s="107"/>
      <c r="AX365" s="10"/>
      <c r="AY365" s="10"/>
    </row>
    <row r="366" spans="1:51" ht="14.25" hidden="1">
      <c r="A366" s="10"/>
      <c r="B366" s="10"/>
      <c r="C366" s="10"/>
      <c r="D366" s="10"/>
      <c r="E366" s="10"/>
      <c r="F366" s="10"/>
      <c r="G366" s="10"/>
      <c r="H366" s="10"/>
      <c r="I366" s="10"/>
      <c r="J366" s="10"/>
      <c r="K366" s="10"/>
      <c r="L366" s="98"/>
      <c r="M366" s="324"/>
      <c r="N366" s="10"/>
      <c r="O366" s="10"/>
      <c r="P366" s="10"/>
      <c r="Q366" s="10"/>
      <c r="R366" s="10"/>
      <c r="S366" s="10"/>
      <c r="T366" s="10"/>
      <c r="U366" s="98"/>
      <c r="V366" s="98"/>
      <c r="W366" s="98"/>
      <c r="X366" s="98"/>
      <c r="Y366" s="98"/>
      <c r="Z366" s="98"/>
      <c r="AA366" s="98"/>
      <c r="AB366" s="98"/>
      <c r="AC366" s="98"/>
      <c r="AD366" s="98"/>
      <c r="AE366" s="98"/>
      <c r="AF366" s="98"/>
      <c r="AG366" s="98"/>
      <c r="AH366" s="98"/>
      <c r="AI366" s="98"/>
      <c r="AJ366" s="98"/>
      <c r="AK366" s="98"/>
      <c r="AL366" s="98"/>
      <c r="AM366" s="98"/>
      <c r="AN366" s="98"/>
      <c r="AO366" s="98"/>
      <c r="AP366" s="98"/>
      <c r="AQ366" s="98"/>
      <c r="AR366" s="98"/>
      <c r="AS366" s="98"/>
      <c r="AT366" s="98"/>
      <c r="AU366" s="98"/>
      <c r="AV366" s="98"/>
      <c r="AW366" s="98"/>
      <c r="AX366" s="10"/>
      <c r="AY366" s="10"/>
    </row>
    <row r="367" spans="1:51" ht="14.25" hidden="1">
      <c r="A367" s="10"/>
      <c r="B367" s="10"/>
      <c r="C367" s="10"/>
      <c r="D367" s="10"/>
      <c r="E367" s="10"/>
      <c r="F367" s="10"/>
      <c r="G367" s="10"/>
      <c r="H367" s="10"/>
      <c r="I367" s="10"/>
      <c r="J367" s="10"/>
      <c r="K367" s="10"/>
      <c r="L367" s="98"/>
      <c r="M367" s="324"/>
      <c r="N367" s="10"/>
      <c r="O367" s="10"/>
      <c r="P367" s="10"/>
      <c r="Q367" s="10"/>
      <c r="R367" s="10"/>
      <c r="S367" s="10"/>
      <c r="T367" s="10"/>
      <c r="U367" s="98"/>
      <c r="V367" s="98"/>
      <c r="W367" s="98"/>
      <c r="X367" s="98"/>
      <c r="Y367" s="98"/>
      <c r="Z367" s="98"/>
      <c r="AA367" s="98"/>
      <c r="AB367" s="98"/>
      <c r="AC367" s="98"/>
      <c r="AD367" s="98"/>
      <c r="AE367" s="98"/>
      <c r="AF367" s="98"/>
      <c r="AG367" s="98"/>
      <c r="AH367" s="98"/>
      <c r="AI367" s="98"/>
      <c r="AJ367" s="98"/>
      <c r="AK367" s="98"/>
      <c r="AL367" s="98"/>
      <c r="AM367" s="98"/>
      <c r="AN367" s="98"/>
      <c r="AO367" s="98"/>
      <c r="AP367" s="98"/>
      <c r="AQ367" s="98"/>
      <c r="AR367" s="98"/>
      <c r="AS367" s="98"/>
      <c r="AT367" s="98"/>
      <c r="AU367" s="98"/>
      <c r="AV367" s="98"/>
      <c r="AW367" s="98"/>
      <c r="AX367" s="10"/>
      <c r="AY367" s="10"/>
    </row>
    <row r="368" spans="1:51" ht="14.25" hidden="1">
      <c r="A368" s="10"/>
      <c r="B368" s="10"/>
      <c r="C368" s="10"/>
      <c r="D368" s="10"/>
      <c r="E368" s="10"/>
      <c r="F368" s="10"/>
      <c r="G368" s="10"/>
      <c r="H368" s="10"/>
      <c r="I368" s="10"/>
      <c r="J368" s="10"/>
      <c r="K368" s="10"/>
      <c r="L368" s="98"/>
      <c r="M368" s="324"/>
      <c r="N368" s="10"/>
      <c r="O368" s="10"/>
      <c r="P368" s="10"/>
      <c r="Q368" s="10"/>
      <c r="R368" s="10"/>
      <c r="S368" s="10"/>
      <c r="T368" s="10"/>
      <c r="U368" s="98"/>
      <c r="V368" s="98"/>
      <c r="W368" s="98"/>
      <c r="X368" s="98"/>
      <c r="Y368" s="98"/>
      <c r="Z368" s="98"/>
      <c r="AA368" s="98"/>
      <c r="AB368" s="98"/>
      <c r="AC368" s="98"/>
      <c r="AD368" s="98"/>
      <c r="AE368" s="98"/>
      <c r="AF368" s="98"/>
      <c r="AG368" s="98"/>
      <c r="AH368" s="98"/>
      <c r="AI368" s="98"/>
      <c r="AJ368" s="98"/>
      <c r="AK368" s="98"/>
      <c r="AL368" s="98"/>
      <c r="AM368" s="98"/>
      <c r="AN368" s="98"/>
      <c r="AO368" s="98"/>
      <c r="AP368" s="98"/>
      <c r="AQ368" s="98"/>
      <c r="AR368" s="98"/>
      <c r="AS368" s="98"/>
      <c r="AT368" s="98"/>
      <c r="AU368" s="98"/>
      <c r="AV368" s="98"/>
      <c r="AW368" s="98"/>
      <c r="AX368" s="10"/>
      <c r="AY368" s="10"/>
    </row>
    <row r="369" spans="1:51" ht="14.25" hidden="1">
      <c r="A369" s="10"/>
      <c r="B369" s="10"/>
      <c r="C369" s="10"/>
      <c r="D369" s="10"/>
      <c r="E369" s="10"/>
      <c r="F369" s="10"/>
      <c r="G369" s="10"/>
      <c r="H369" s="10"/>
      <c r="I369" s="10"/>
      <c r="J369" s="10"/>
      <c r="K369" s="10"/>
      <c r="L369" s="98"/>
      <c r="M369" s="324"/>
      <c r="N369" s="10"/>
      <c r="O369" s="10"/>
      <c r="P369" s="10"/>
      <c r="Q369" s="10"/>
      <c r="R369" s="10"/>
      <c r="S369" s="10"/>
      <c r="T369" s="10"/>
      <c r="U369" s="98"/>
      <c r="V369" s="98"/>
      <c r="W369" s="98"/>
      <c r="X369" s="98"/>
      <c r="Y369" s="98"/>
      <c r="Z369" s="98"/>
      <c r="AA369" s="98"/>
      <c r="AB369" s="98"/>
      <c r="AC369" s="98"/>
      <c r="AD369" s="98"/>
      <c r="AE369" s="98"/>
      <c r="AF369" s="98"/>
      <c r="AG369" s="98"/>
      <c r="AH369" s="98"/>
      <c r="AI369" s="98"/>
      <c r="AJ369" s="98"/>
      <c r="AK369" s="98"/>
      <c r="AL369" s="98"/>
      <c r="AM369" s="98"/>
      <c r="AN369" s="98"/>
      <c r="AO369" s="98"/>
      <c r="AP369" s="98"/>
      <c r="AQ369" s="98"/>
      <c r="AR369" s="98"/>
      <c r="AS369" s="98"/>
      <c r="AT369" s="98"/>
      <c r="AU369" s="98"/>
      <c r="AV369" s="98"/>
      <c r="AW369" s="98"/>
      <c r="AX369" s="10"/>
      <c r="AY369" s="10"/>
    </row>
    <row r="370" spans="1:51" ht="14.25" hidden="1">
      <c r="A370" s="10"/>
      <c r="B370" s="10"/>
      <c r="C370" s="10"/>
      <c r="D370" s="10"/>
      <c r="E370" s="10"/>
      <c r="F370" s="10"/>
      <c r="G370" s="10"/>
      <c r="H370" s="10"/>
      <c r="I370" s="10"/>
      <c r="J370" s="10"/>
      <c r="K370" s="10"/>
      <c r="L370" s="98"/>
      <c r="M370" s="324"/>
      <c r="N370" s="10"/>
      <c r="O370" s="10"/>
      <c r="P370" s="10"/>
      <c r="Q370" s="10"/>
      <c r="R370" s="10"/>
      <c r="S370" s="10"/>
      <c r="T370" s="10"/>
      <c r="U370" s="98"/>
      <c r="V370" s="98"/>
      <c r="W370" s="98"/>
      <c r="X370" s="98"/>
      <c r="Y370" s="98"/>
      <c r="Z370" s="98"/>
      <c r="AA370" s="98"/>
      <c r="AB370" s="98"/>
      <c r="AC370" s="98"/>
      <c r="AD370" s="98"/>
      <c r="AE370" s="98"/>
      <c r="AF370" s="98"/>
      <c r="AG370" s="98"/>
      <c r="AH370" s="98"/>
      <c r="AI370" s="98"/>
      <c r="AJ370" s="98"/>
      <c r="AK370" s="98"/>
      <c r="AL370" s="98"/>
      <c r="AM370" s="98"/>
      <c r="AN370" s="98"/>
      <c r="AO370" s="98"/>
      <c r="AP370" s="98"/>
      <c r="AQ370" s="98"/>
      <c r="AR370" s="98"/>
      <c r="AS370" s="98"/>
      <c r="AT370" s="98"/>
      <c r="AU370" s="98"/>
      <c r="AV370" s="98"/>
      <c r="AW370" s="98"/>
      <c r="AX370" s="10"/>
      <c r="AY370" s="10"/>
    </row>
    <row r="371" spans="1:51" ht="14.25" hidden="1">
      <c r="A371" s="10"/>
      <c r="B371" s="10"/>
      <c r="C371" s="10"/>
      <c r="D371" s="10"/>
      <c r="E371" s="10"/>
      <c r="F371" s="10"/>
      <c r="G371" s="10"/>
      <c r="H371" s="10"/>
      <c r="I371" s="10"/>
      <c r="J371" s="10"/>
      <c r="K371" s="10"/>
      <c r="L371" s="98"/>
      <c r="M371" s="324"/>
      <c r="N371" s="10"/>
      <c r="O371" s="10"/>
      <c r="P371" s="10"/>
      <c r="Q371" s="10"/>
      <c r="R371" s="10"/>
      <c r="S371" s="10"/>
      <c r="T371" s="10"/>
      <c r="U371" s="98"/>
      <c r="V371" s="98"/>
      <c r="W371" s="98"/>
      <c r="X371" s="98"/>
      <c r="Y371" s="98"/>
      <c r="Z371" s="98"/>
      <c r="AA371" s="98"/>
      <c r="AB371" s="98"/>
      <c r="AC371" s="98"/>
      <c r="AD371" s="98"/>
      <c r="AE371" s="98"/>
      <c r="AF371" s="98"/>
      <c r="AG371" s="98"/>
      <c r="AH371" s="98"/>
      <c r="AI371" s="98"/>
      <c r="AJ371" s="98"/>
      <c r="AK371" s="98"/>
      <c r="AL371" s="98"/>
      <c r="AM371" s="98"/>
      <c r="AN371" s="98"/>
      <c r="AO371" s="98"/>
      <c r="AP371" s="98"/>
      <c r="AQ371" s="98"/>
      <c r="AR371" s="98"/>
      <c r="AS371" s="98"/>
      <c r="AT371" s="98"/>
      <c r="AU371" s="98"/>
      <c r="AV371" s="98"/>
      <c r="AW371" s="98"/>
      <c r="AX371" s="10"/>
      <c r="AY371" s="10"/>
    </row>
    <row r="372" spans="1:51" ht="14.25" hidden="1">
      <c r="A372" s="10"/>
      <c r="B372" s="10"/>
      <c r="C372" s="10"/>
      <c r="D372" s="10"/>
      <c r="E372" s="10"/>
      <c r="F372" s="10"/>
      <c r="G372" s="10"/>
      <c r="H372" s="10"/>
      <c r="I372" s="10"/>
      <c r="J372" s="10"/>
      <c r="K372" s="10"/>
      <c r="L372" s="98"/>
      <c r="M372" s="324"/>
      <c r="N372" s="10"/>
      <c r="O372" s="10"/>
      <c r="P372" s="10"/>
      <c r="Q372" s="10"/>
      <c r="R372" s="10"/>
      <c r="S372" s="10"/>
      <c r="T372" s="10"/>
      <c r="U372" s="98"/>
      <c r="V372" s="98"/>
      <c r="W372" s="98"/>
      <c r="X372" s="98"/>
      <c r="Y372" s="98"/>
      <c r="Z372" s="98"/>
      <c r="AA372" s="98"/>
      <c r="AB372" s="98"/>
      <c r="AC372" s="98"/>
      <c r="AD372" s="98"/>
      <c r="AE372" s="98"/>
      <c r="AF372" s="98"/>
      <c r="AG372" s="98"/>
      <c r="AH372" s="98"/>
      <c r="AI372" s="98"/>
      <c r="AJ372" s="98"/>
      <c r="AK372" s="98"/>
      <c r="AL372" s="98"/>
      <c r="AM372" s="98"/>
      <c r="AN372" s="98"/>
      <c r="AO372" s="98"/>
      <c r="AP372" s="98"/>
      <c r="AQ372" s="98"/>
      <c r="AR372" s="98"/>
      <c r="AS372" s="98"/>
      <c r="AT372" s="98"/>
      <c r="AU372" s="98"/>
      <c r="AV372" s="98"/>
      <c r="AW372" s="98"/>
      <c r="AX372" s="10"/>
      <c r="AY372" s="10"/>
    </row>
    <row r="373" spans="1:51" ht="14.25" hidden="1">
      <c r="A373" s="10"/>
      <c r="B373" s="10"/>
      <c r="C373" s="10"/>
      <c r="D373" s="10"/>
      <c r="E373" s="10"/>
      <c r="F373" s="10"/>
      <c r="G373" s="10"/>
      <c r="H373" s="10"/>
      <c r="I373" s="10"/>
      <c r="J373" s="10"/>
      <c r="K373" s="10"/>
      <c r="L373" s="98"/>
      <c r="M373" s="324"/>
      <c r="N373" s="10"/>
      <c r="O373" s="10"/>
      <c r="P373" s="10"/>
      <c r="Q373" s="10"/>
      <c r="R373" s="10"/>
      <c r="S373" s="10"/>
      <c r="T373" s="10"/>
      <c r="U373" s="98"/>
      <c r="V373" s="98"/>
      <c r="W373" s="98"/>
      <c r="X373" s="98"/>
      <c r="Y373" s="98"/>
      <c r="Z373" s="98"/>
      <c r="AA373" s="98"/>
      <c r="AB373" s="98"/>
      <c r="AC373" s="98"/>
      <c r="AD373" s="98"/>
      <c r="AE373" s="98"/>
      <c r="AF373" s="98"/>
      <c r="AG373" s="98"/>
      <c r="AH373" s="98"/>
      <c r="AI373" s="98"/>
      <c r="AJ373" s="98"/>
      <c r="AK373" s="98"/>
      <c r="AL373" s="98"/>
      <c r="AM373" s="98"/>
      <c r="AN373" s="98"/>
      <c r="AO373" s="98"/>
      <c r="AP373" s="98"/>
      <c r="AQ373" s="98"/>
      <c r="AR373" s="98"/>
      <c r="AS373" s="98"/>
      <c r="AT373" s="98"/>
      <c r="AU373" s="98"/>
      <c r="AV373" s="98"/>
      <c r="AW373" s="98"/>
      <c r="AX373" s="10"/>
      <c r="AY373" s="10"/>
    </row>
    <row r="374" spans="1:51" ht="14.25" hidden="1">
      <c r="A374" s="10"/>
      <c r="B374" s="10"/>
      <c r="C374" s="10"/>
      <c r="D374" s="10"/>
      <c r="E374" s="10"/>
      <c r="F374" s="10"/>
      <c r="G374" s="10"/>
      <c r="H374" s="10"/>
      <c r="I374" s="10"/>
      <c r="J374" s="10"/>
      <c r="K374" s="10"/>
      <c r="L374" s="98"/>
      <c r="M374" s="324"/>
      <c r="N374" s="10"/>
      <c r="O374" s="10"/>
      <c r="P374" s="10"/>
      <c r="Q374" s="10"/>
      <c r="R374" s="10"/>
      <c r="S374" s="10"/>
      <c r="T374" s="10"/>
      <c r="U374" s="98"/>
      <c r="V374" s="98"/>
      <c r="W374" s="98"/>
      <c r="X374" s="98"/>
      <c r="Y374" s="98"/>
      <c r="Z374" s="98"/>
      <c r="AA374" s="98"/>
      <c r="AB374" s="98"/>
      <c r="AC374" s="98"/>
      <c r="AD374" s="98"/>
      <c r="AE374" s="98"/>
      <c r="AF374" s="98"/>
      <c r="AG374" s="98"/>
      <c r="AH374" s="98"/>
      <c r="AI374" s="98"/>
      <c r="AJ374" s="98"/>
      <c r="AK374" s="98"/>
      <c r="AL374" s="98"/>
      <c r="AM374" s="98"/>
      <c r="AN374" s="98"/>
      <c r="AO374" s="98"/>
      <c r="AP374" s="98"/>
      <c r="AQ374" s="98"/>
      <c r="AR374" s="98"/>
      <c r="AS374" s="98"/>
      <c r="AT374" s="98"/>
      <c r="AU374" s="98"/>
      <c r="AV374" s="98"/>
      <c r="AW374" s="98"/>
      <c r="AX374" s="10"/>
      <c r="AY374" s="10"/>
    </row>
    <row r="375" spans="1:51" ht="14.25" hidden="1">
      <c r="A375" s="10"/>
      <c r="B375" s="10"/>
      <c r="C375" s="10"/>
      <c r="D375" s="10"/>
      <c r="E375" s="10"/>
      <c r="F375" s="10"/>
      <c r="G375" s="10"/>
      <c r="H375" s="10"/>
      <c r="I375" s="10"/>
      <c r="J375" s="10"/>
      <c r="K375" s="10"/>
      <c r="L375" s="98"/>
      <c r="M375" s="324"/>
      <c r="N375" s="10"/>
      <c r="O375" s="10"/>
      <c r="P375" s="10"/>
      <c r="Q375" s="10"/>
      <c r="R375" s="10"/>
      <c r="S375" s="10"/>
      <c r="T375" s="10"/>
      <c r="U375" s="98"/>
      <c r="V375" s="98"/>
      <c r="W375" s="98"/>
      <c r="X375" s="98"/>
      <c r="Y375" s="98"/>
      <c r="Z375" s="98"/>
      <c r="AA375" s="98"/>
      <c r="AB375" s="98"/>
      <c r="AC375" s="98"/>
      <c r="AD375" s="98"/>
      <c r="AE375" s="98"/>
      <c r="AF375" s="98"/>
      <c r="AG375" s="98"/>
      <c r="AH375" s="98"/>
      <c r="AI375" s="98"/>
      <c r="AJ375" s="98"/>
      <c r="AK375" s="98"/>
      <c r="AL375" s="98"/>
      <c r="AM375" s="98"/>
      <c r="AN375" s="98"/>
      <c r="AO375" s="98"/>
      <c r="AP375" s="98"/>
      <c r="AQ375" s="98"/>
      <c r="AR375" s="98"/>
      <c r="AS375" s="98"/>
      <c r="AT375" s="98"/>
      <c r="AU375" s="98"/>
      <c r="AV375" s="98"/>
      <c r="AW375" s="98"/>
      <c r="AX375" s="10"/>
      <c r="AY375" s="10"/>
    </row>
    <row r="376" spans="1:51" ht="14.25" hidden="1">
      <c r="A376" s="10"/>
      <c r="B376" s="10"/>
      <c r="C376" s="10"/>
      <c r="D376" s="10"/>
      <c r="E376" s="10"/>
      <c r="F376" s="10"/>
      <c r="G376" s="10"/>
      <c r="H376" s="10"/>
      <c r="I376" s="10"/>
      <c r="J376" s="10"/>
      <c r="K376" s="10"/>
      <c r="L376" s="98"/>
      <c r="M376" s="324"/>
      <c r="N376" s="10"/>
      <c r="O376" s="10"/>
      <c r="P376" s="10"/>
      <c r="Q376" s="10"/>
      <c r="R376" s="10"/>
      <c r="S376" s="10"/>
      <c r="T376" s="10"/>
      <c r="U376" s="98"/>
      <c r="V376" s="98"/>
      <c r="W376" s="98"/>
      <c r="X376" s="98"/>
      <c r="Y376" s="98"/>
      <c r="Z376" s="98"/>
      <c r="AA376" s="98"/>
      <c r="AB376" s="98"/>
      <c r="AC376" s="98"/>
      <c r="AD376" s="98"/>
      <c r="AE376" s="98"/>
      <c r="AF376" s="98"/>
      <c r="AG376" s="98"/>
      <c r="AH376" s="98"/>
      <c r="AI376" s="98"/>
      <c r="AJ376" s="98"/>
      <c r="AK376" s="98"/>
      <c r="AL376" s="98"/>
      <c r="AM376" s="98"/>
      <c r="AN376" s="98"/>
      <c r="AO376" s="98"/>
      <c r="AP376" s="98"/>
      <c r="AQ376" s="98"/>
      <c r="AR376" s="98"/>
      <c r="AS376" s="98"/>
      <c r="AT376" s="98"/>
      <c r="AU376" s="98"/>
      <c r="AV376" s="98"/>
      <c r="AW376" s="98"/>
      <c r="AX376" s="10"/>
      <c r="AY376" s="10"/>
    </row>
    <row r="377" spans="1:51" ht="14.25" hidden="1">
      <c r="A377" s="10"/>
      <c r="B377" s="10"/>
      <c r="C377" s="10"/>
      <c r="D377" s="10"/>
      <c r="E377" s="10"/>
      <c r="F377" s="10"/>
      <c r="G377" s="10"/>
      <c r="H377" s="10"/>
      <c r="I377" s="10"/>
      <c r="J377" s="10"/>
      <c r="K377" s="10"/>
      <c r="L377" s="98"/>
      <c r="M377" s="324"/>
      <c r="N377" s="10"/>
      <c r="O377" s="10"/>
      <c r="P377" s="10"/>
      <c r="Q377" s="10"/>
      <c r="R377" s="10"/>
      <c r="S377" s="10"/>
      <c r="T377" s="10"/>
      <c r="U377" s="98"/>
      <c r="V377" s="98"/>
      <c r="W377" s="98"/>
      <c r="X377" s="98"/>
      <c r="Y377" s="98"/>
      <c r="Z377" s="98"/>
      <c r="AA377" s="98"/>
      <c r="AB377" s="98"/>
      <c r="AC377" s="98"/>
      <c r="AD377" s="98"/>
      <c r="AE377" s="98"/>
      <c r="AF377" s="98"/>
      <c r="AG377" s="98"/>
      <c r="AH377" s="98"/>
      <c r="AI377" s="98"/>
      <c r="AJ377" s="98"/>
      <c r="AK377" s="98"/>
      <c r="AL377" s="98"/>
      <c r="AM377" s="98"/>
      <c r="AN377" s="98"/>
      <c r="AO377" s="98"/>
      <c r="AP377" s="98"/>
      <c r="AQ377" s="98"/>
      <c r="AR377" s="98"/>
      <c r="AS377" s="98"/>
      <c r="AT377" s="98"/>
      <c r="AU377" s="98"/>
      <c r="AV377" s="98"/>
      <c r="AW377" s="98"/>
      <c r="AX377" s="10"/>
      <c r="AY377" s="10"/>
    </row>
    <row r="378" spans="1:51" ht="14.25" hidden="1">
      <c r="A378" s="10"/>
      <c r="B378" s="10"/>
      <c r="C378" s="10"/>
      <c r="D378" s="10"/>
      <c r="E378" s="10"/>
      <c r="F378" s="10"/>
      <c r="G378" s="10"/>
      <c r="H378" s="10"/>
      <c r="I378" s="10"/>
      <c r="J378" s="10"/>
      <c r="K378" s="10"/>
      <c r="L378" s="98"/>
      <c r="M378" s="324"/>
      <c r="N378" s="10"/>
      <c r="O378" s="10"/>
      <c r="P378" s="10"/>
      <c r="Q378" s="10"/>
      <c r="R378" s="10"/>
      <c r="S378" s="10"/>
      <c r="T378" s="10"/>
      <c r="U378" s="98"/>
      <c r="V378" s="98"/>
      <c r="W378" s="98"/>
      <c r="X378" s="98"/>
      <c r="Y378" s="98"/>
      <c r="Z378" s="98"/>
      <c r="AA378" s="98"/>
      <c r="AB378" s="98"/>
      <c r="AC378" s="98"/>
      <c r="AD378" s="98"/>
      <c r="AE378" s="98"/>
      <c r="AF378" s="98"/>
      <c r="AG378" s="98"/>
      <c r="AH378" s="98"/>
      <c r="AI378" s="98"/>
      <c r="AJ378" s="98"/>
      <c r="AK378" s="98"/>
      <c r="AL378" s="98"/>
      <c r="AM378" s="98"/>
      <c r="AN378" s="98"/>
      <c r="AO378" s="98"/>
      <c r="AP378" s="98"/>
      <c r="AQ378" s="98"/>
      <c r="AR378" s="98"/>
      <c r="AS378" s="98"/>
      <c r="AT378" s="98"/>
      <c r="AU378" s="98"/>
      <c r="AV378" s="98"/>
      <c r="AW378" s="98"/>
      <c r="AX378" s="10"/>
      <c r="AY378" s="10"/>
    </row>
    <row r="379" spans="1:51" ht="14.25" hidden="1">
      <c r="A379" s="10"/>
      <c r="B379" s="10"/>
      <c r="C379" s="10"/>
      <c r="D379" s="10"/>
      <c r="E379" s="10"/>
      <c r="F379" s="10"/>
      <c r="G379" s="10"/>
      <c r="H379" s="10"/>
      <c r="I379" s="10"/>
      <c r="J379" s="10"/>
      <c r="K379" s="10"/>
      <c r="L379" s="98"/>
      <c r="M379" s="324"/>
      <c r="N379" s="10"/>
      <c r="O379" s="10"/>
      <c r="P379" s="10"/>
      <c r="Q379" s="10"/>
      <c r="R379" s="10"/>
      <c r="S379" s="10"/>
      <c r="T379" s="10"/>
      <c r="U379" s="98"/>
      <c r="V379" s="98"/>
      <c r="W379" s="98"/>
      <c r="X379" s="98"/>
      <c r="Y379" s="98"/>
      <c r="Z379" s="98"/>
      <c r="AA379" s="98"/>
      <c r="AB379" s="98"/>
      <c r="AC379" s="98"/>
      <c r="AD379" s="98"/>
      <c r="AE379" s="98"/>
      <c r="AF379" s="98"/>
      <c r="AG379" s="98"/>
      <c r="AH379" s="98"/>
      <c r="AI379" s="98"/>
      <c r="AJ379" s="98"/>
      <c r="AK379" s="98"/>
      <c r="AL379" s="98"/>
      <c r="AM379" s="98"/>
      <c r="AN379" s="98"/>
      <c r="AO379" s="98"/>
      <c r="AP379" s="98"/>
      <c r="AQ379" s="98"/>
      <c r="AR379" s="98"/>
      <c r="AS379" s="98"/>
      <c r="AT379" s="98"/>
      <c r="AU379" s="98"/>
      <c r="AV379" s="98"/>
      <c r="AW379" s="98"/>
      <c r="AX379" s="10"/>
      <c r="AY379" s="10"/>
    </row>
    <row r="380" spans="1:51" ht="14.25" hidden="1">
      <c r="A380" s="10"/>
      <c r="B380" s="10"/>
      <c r="C380" s="10"/>
      <c r="D380" s="10"/>
      <c r="E380" s="10"/>
      <c r="F380" s="10"/>
      <c r="G380" s="10"/>
      <c r="H380" s="10"/>
      <c r="I380" s="10"/>
      <c r="J380" s="10"/>
      <c r="K380" s="10"/>
      <c r="L380" s="98"/>
      <c r="M380" s="324"/>
      <c r="N380" s="10"/>
      <c r="O380" s="10"/>
      <c r="P380" s="10"/>
      <c r="Q380" s="10"/>
      <c r="R380" s="10"/>
      <c r="S380" s="10"/>
      <c r="T380" s="10"/>
      <c r="U380" s="98"/>
      <c r="V380" s="98"/>
      <c r="W380" s="98"/>
      <c r="X380" s="98"/>
      <c r="Y380" s="98"/>
      <c r="Z380" s="98"/>
      <c r="AA380" s="98"/>
      <c r="AB380" s="98"/>
      <c r="AC380" s="98"/>
      <c r="AD380" s="98"/>
      <c r="AE380" s="98"/>
      <c r="AF380" s="98"/>
      <c r="AG380" s="98"/>
      <c r="AH380" s="98"/>
      <c r="AI380" s="98"/>
      <c r="AJ380" s="98"/>
      <c r="AK380" s="98"/>
      <c r="AL380" s="98"/>
      <c r="AM380" s="98"/>
      <c r="AN380" s="98"/>
      <c r="AO380" s="98"/>
      <c r="AP380" s="98"/>
      <c r="AQ380" s="98"/>
      <c r="AR380" s="98"/>
      <c r="AS380" s="98"/>
      <c r="AT380" s="98"/>
      <c r="AU380" s="98"/>
      <c r="AV380" s="98"/>
      <c r="AW380" s="98"/>
      <c r="AX380" s="10"/>
      <c r="AY380" s="10"/>
    </row>
    <row r="381" spans="1:51" ht="14.25" hidden="1">
      <c r="A381" s="10"/>
      <c r="B381" s="10"/>
      <c r="C381" s="10"/>
      <c r="D381" s="10"/>
      <c r="E381" s="10"/>
      <c r="F381" s="10"/>
      <c r="G381" s="10"/>
      <c r="H381" s="10"/>
      <c r="I381" s="10"/>
      <c r="J381" s="10"/>
      <c r="K381" s="10"/>
      <c r="L381" s="98"/>
      <c r="M381" s="324"/>
      <c r="N381" s="10"/>
      <c r="O381" s="10"/>
      <c r="P381" s="10"/>
      <c r="Q381" s="10"/>
      <c r="R381" s="10"/>
      <c r="S381" s="10"/>
      <c r="T381" s="10"/>
      <c r="U381" s="98"/>
      <c r="V381" s="98"/>
      <c r="W381" s="98"/>
      <c r="X381" s="98"/>
      <c r="Y381" s="98"/>
      <c r="Z381" s="98"/>
      <c r="AA381" s="98"/>
      <c r="AB381" s="98"/>
      <c r="AC381" s="98"/>
      <c r="AD381" s="98"/>
      <c r="AE381" s="98"/>
      <c r="AF381" s="98"/>
      <c r="AG381" s="98"/>
      <c r="AH381" s="98"/>
      <c r="AI381" s="98"/>
      <c r="AJ381" s="98"/>
      <c r="AK381" s="98"/>
      <c r="AL381" s="98"/>
      <c r="AM381" s="98"/>
      <c r="AN381" s="98"/>
      <c r="AO381" s="98"/>
      <c r="AP381" s="98"/>
      <c r="AQ381" s="98"/>
      <c r="AR381" s="98"/>
      <c r="AS381" s="98"/>
      <c r="AT381" s="98"/>
      <c r="AU381" s="98"/>
      <c r="AV381" s="98"/>
      <c r="AW381" s="98"/>
      <c r="AX381" s="10"/>
      <c r="AY381" s="10"/>
    </row>
    <row r="382" spans="1:51" ht="14.25" hidden="1">
      <c r="A382" s="10"/>
      <c r="B382" s="10"/>
      <c r="C382" s="10"/>
      <c r="D382" s="10"/>
      <c r="E382" s="10"/>
      <c r="F382" s="10"/>
      <c r="G382" s="10"/>
      <c r="H382" s="10"/>
      <c r="I382" s="10"/>
      <c r="J382" s="10"/>
      <c r="K382" s="10"/>
      <c r="L382" s="98"/>
      <c r="M382" s="324"/>
      <c r="N382" s="10"/>
      <c r="O382" s="10"/>
      <c r="P382" s="10"/>
      <c r="Q382" s="10"/>
      <c r="R382" s="10"/>
      <c r="S382" s="10"/>
      <c r="T382" s="10"/>
      <c r="U382" s="98"/>
      <c r="V382" s="98"/>
      <c r="W382" s="98"/>
      <c r="X382" s="98"/>
      <c r="Y382" s="98"/>
      <c r="Z382" s="98"/>
      <c r="AA382" s="98"/>
      <c r="AB382" s="98"/>
      <c r="AC382" s="98"/>
      <c r="AD382" s="98"/>
      <c r="AE382" s="98"/>
      <c r="AF382" s="98"/>
      <c r="AG382" s="98"/>
      <c r="AH382" s="98"/>
      <c r="AI382" s="98"/>
      <c r="AJ382" s="98"/>
      <c r="AK382" s="98"/>
      <c r="AL382" s="98"/>
      <c r="AM382" s="98"/>
      <c r="AN382" s="98"/>
      <c r="AO382" s="98"/>
      <c r="AP382" s="98"/>
      <c r="AQ382" s="98"/>
      <c r="AR382" s="98"/>
      <c r="AS382" s="98"/>
      <c r="AT382" s="98"/>
      <c r="AU382" s="98"/>
      <c r="AV382" s="98"/>
      <c r="AW382" s="98"/>
      <c r="AX382" s="10"/>
      <c r="AY382" s="10"/>
    </row>
    <row r="383" spans="1:51" ht="14.25" hidden="1">
      <c r="A383" s="10"/>
      <c r="B383" s="10"/>
      <c r="C383" s="10"/>
      <c r="D383" s="10"/>
      <c r="E383" s="10"/>
      <c r="F383" s="10"/>
      <c r="G383" s="10"/>
      <c r="H383" s="10"/>
      <c r="I383" s="10"/>
      <c r="J383" s="10"/>
      <c r="K383" s="10"/>
      <c r="L383" s="98"/>
      <c r="M383" s="324"/>
      <c r="N383" s="10"/>
      <c r="O383" s="10"/>
      <c r="P383" s="10"/>
      <c r="Q383" s="10"/>
      <c r="R383" s="10"/>
      <c r="S383" s="10"/>
      <c r="T383" s="10"/>
      <c r="U383" s="98"/>
      <c r="V383" s="98"/>
      <c r="W383" s="98"/>
      <c r="X383" s="98"/>
      <c r="Y383" s="98"/>
      <c r="Z383" s="98"/>
      <c r="AA383" s="98"/>
      <c r="AB383" s="98"/>
      <c r="AC383" s="98"/>
      <c r="AD383" s="98"/>
      <c r="AE383" s="98"/>
      <c r="AF383" s="98"/>
      <c r="AG383" s="98"/>
      <c r="AH383" s="98"/>
      <c r="AI383" s="98"/>
      <c r="AJ383" s="98"/>
      <c r="AK383" s="98"/>
      <c r="AL383" s="98"/>
      <c r="AM383" s="98"/>
      <c r="AN383" s="98"/>
      <c r="AO383" s="98"/>
      <c r="AP383" s="98"/>
      <c r="AQ383" s="98"/>
      <c r="AR383" s="98"/>
      <c r="AS383" s="98"/>
      <c r="AT383" s="98"/>
      <c r="AU383" s="98"/>
      <c r="AV383" s="98"/>
      <c r="AW383" s="98"/>
      <c r="AX383" s="10"/>
      <c r="AY383" s="10"/>
    </row>
    <row r="384" spans="1:51" ht="14.25" hidden="1">
      <c r="A384" s="10"/>
      <c r="B384" s="10"/>
      <c r="C384" s="10"/>
      <c r="D384" s="10"/>
      <c r="E384" s="10"/>
      <c r="F384" s="10"/>
      <c r="G384" s="10"/>
      <c r="H384" s="10"/>
      <c r="I384" s="10"/>
      <c r="J384" s="10"/>
      <c r="K384" s="10"/>
      <c r="L384" s="98"/>
      <c r="M384" s="324"/>
      <c r="N384" s="10"/>
      <c r="O384" s="10"/>
      <c r="P384" s="10"/>
      <c r="Q384" s="10"/>
      <c r="R384" s="10"/>
      <c r="S384" s="10"/>
      <c r="T384" s="10"/>
      <c r="U384" s="98"/>
      <c r="V384" s="98"/>
      <c r="W384" s="98"/>
      <c r="X384" s="98"/>
      <c r="Y384" s="98"/>
      <c r="Z384" s="98"/>
      <c r="AA384" s="98"/>
      <c r="AB384" s="98"/>
      <c r="AC384" s="98"/>
      <c r="AD384" s="98"/>
      <c r="AE384" s="98"/>
      <c r="AF384" s="98"/>
      <c r="AG384" s="98"/>
      <c r="AH384" s="98"/>
      <c r="AI384" s="98"/>
      <c r="AJ384" s="98"/>
      <c r="AK384" s="98"/>
      <c r="AL384" s="98"/>
      <c r="AM384" s="98"/>
      <c r="AN384" s="98"/>
      <c r="AO384" s="98"/>
      <c r="AP384" s="98"/>
      <c r="AQ384" s="98"/>
      <c r="AR384" s="98"/>
      <c r="AS384" s="98"/>
      <c r="AT384" s="98"/>
      <c r="AU384" s="98"/>
      <c r="AV384" s="98"/>
      <c r="AW384" s="98"/>
      <c r="AX384" s="10"/>
      <c r="AY384" s="10"/>
    </row>
    <row r="385" spans="1:51" ht="14.25" hidden="1">
      <c r="A385" s="10"/>
      <c r="B385" s="10"/>
      <c r="C385" s="10"/>
      <c r="D385" s="10"/>
      <c r="E385" s="10"/>
      <c r="F385" s="10"/>
      <c r="G385" s="10"/>
      <c r="H385" s="10"/>
      <c r="I385" s="10"/>
      <c r="J385" s="10"/>
      <c r="K385" s="10"/>
      <c r="L385" s="98"/>
      <c r="M385" s="324"/>
      <c r="N385" s="10"/>
      <c r="O385" s="10"/>
      <c r="P385" s="10"/>
      <c r="Q385" s="10"/>
      <c r="R385" s="10"/>
      <c r="S385" s="10"/>
      <c r="T385" s="10"/>
      <c r="U385" s="98"/>
      <c r="V385" s="98"/>
      <c r="W385" s="98"/>
      <c r="X385" s="98"/>
      <c r="Y385" s="98"/>
      <c r="Z385" s="98"/>
      <c r="AA385" s="98"/>
      <c r="AB385" s="98"/>
      <c r="AC385" s="98"/>
      <c r="AD385" s="98"/>
      <c r="AE385" s="98"/>
      <c r="AF385" s="98"/>
      <c r="AG385" s="98"/>
      <c r="AH385" s="98"/>
      <c r="AI385" s="98"/>
      <c r="AJ385" s="98"/>
      <c r="AK385" s="98"/>
      <c r="AL385" s="98"/>
      <c r="AM385" s="98"/>
      <c r="AN385" s="98"/>
      <c r="AO385" s="98"/>
      <c r="AP385" s="98"/>
      <c r="AQ385" s="98"/>
      <c r="AR385" s="98"/>
      <c r="AS385" s="98"/>
      <c r="AT385" s="98"/>
      <c r="AU385" s="98"/>
      <c r="AV385" s="98"/>
      <c r="AW385" s="98"/>
      <c r="AX385" s="10"/>
      <c r="AY385" s="10"/>
    </row>
    <row r="386" spans="1:51" ht="14.25" hidden="1">
      <c r="A386" s="10"/>
      <c r="B386" s="10"/>
      <c r="C386" s="10"/>
      <c r="D386" s="10"/>
      <c r="E386" s="10"/>
      <c r="F386" s="10"/>
      <c r="G386" s="10"/>
      <c r="H386" s="10"/>
      <c r="I386" s="10"/>
      <c r="J386" s="10" t="s">
        <v>1816</v>
      </c>
      <c r="K386" s="10"/>
      <c r="L386" s="98"/>
      <c r="M386" s="324"/>
      <c r="N386" s="10"/>
      <c r="O386" s="10"/>
      <c r="P386" s="10"/>
      <c r="Q386" s="10"/>
      <c r="R386" s="10"/>
      <c r="S386" s="10"/>
      <c r="T386" s="10"/>
      <c r="U386" s="98"/>
      <c r="V386" s="98"/>
      <c r="W386" s="98"/>
      <c r="X386" s="98"/>
      <c r="Y386" s="98"/>
      <c r="Z386" s="98"/>
      <c r="AA386" s="98"/>
      <c r="AB386" s="98"/>
      <c r="AC386" s="98"/>
      <c r="AD386" s="98"/>
      <c r="AE386" s="98"/>
      <c r="AF386" s="98"/>
      <c r="AG386" s="98"/>
      <c r="AH386" s="98"/>
      <c r="AI386" s="98"/>
      <c r="AJ386" s="98"/>
      <c r="AK386" s="98"/>
      <c r="AL386" s="98"/>
      <c r="AM386" s="98"/>
      <c r="AN386" s="98"/>
      <c r="AO386" s="98"/>
      <c r="AP386" s="98"/>
      <c r="AQ386" s="98"/>
      <c r="AR386" s="98"/>
      <c r="AS386" s="98"/>
      <c r="AT386" s="98"/>
      <c r="AU386" s="98"/>
      <c r="AV386" s="98"/>
      <c r="AW386" s="98"/>
      <c r="AX386" s="10"/>
      <c r="AY386" s="10"/>
    </row>
    <row r="387" spans="1:51" ht="14.25" hidden="1">
      <c r="A387" s="10"/>
      <c r="B387" s="10"/>
      <c r="C387" s="10"/>
      <c r="D387" s="10"/>
      <c r="E387" s="10"/>
      <c r="F387" s="10"/>
      <c r="G387" s="10"/>
      <c r="H387" s="10"/>
      <c r="I387" s="10"/>
      <c r="J387" s="10"/>
      <c r="K387" s="10"/>
      <c r="L387" s="98"/>
      <c r="M387" s="324"/>
      <c r="N387" s="10"/>
      <c r="O387" s="10"/>
      <c r="P387" s="10"/>
      <c r="Q387" s="10"/>
      <c r="R387" s="10"/>
      <c r="S387" s="10"/>
      <c r="T387" s="10"/>
      <c r="U387" s="98"/>
      <c r="V387" s="98"/>
      <c r="W387" s="98"/>
      <c r="X387" s="98"/>
      <c r="Y387" s="98"/>
      <c r="Z387" s="98"/>
      <c r="AA387" s="98"/>
      <c r="AB387" s="98"/>
      <c r="AC387" s="98"/>
      <c r="AD387" s="98"/>
      <c r="AE387" s="98"/>
      <c r="AF387" s="98"/>
      <c r="AG387" s="98"/>
      <c r="AH387" s="98"/>
      <c r="AI387" s="98"/>
      <c r="AJ387" s="98"/>
      <c r="AK387" s="98"/>
      <c r="AL387" s="98"/>
      <c r="AM387" s="98"/>
      <c r="AN387" s="98"/>
      <c r="AO387" s="98"/>
      <c r="AP387" s="98"/>
      <c r="AQ387" s="98"/>
      <c r="AR387" s="98"/>
      <c r="AS387" s="98"/>
      <c r="AT387" s="98"/>
      <c r="AU387" s="98"/>
      <c r="AV387" s="98"/>
      <c r="AW387" s="98"/>
      <c r="AX387" s="10"/>
      <c r="AY387" s="10"/>
    </row>
    <row r="388" spans="1:51" ht="14.25" hidden="1">
      <c r="A388" s="10"/>
      <c r="B388" s="10"/>
      <c r="C388" s="10"/>
      <c r="D388" s="10"/>
      <c r="E388" s="10"/>
      <c r="F388" s="10"/>
      <c r="G388" s="10"/>
      <c r="H388" s="10"/>
      <c r="I388" s="10"/>
      <c r="J388" s="10"/>
      <c r="K388" s="10"/>
      <c r="L388" s="98"/>
      <c r="M388" s="324"/>
      <c r="N388" s="10"/>
      <c r="O388" s="10"/>
      <c r="P388" s="10"/>
      <c r="Q388" s="10"/>
      <c r="R388" s="10"/>
      <c r="S388" s="10"/>
      <c r="T388" s="10"/>
      <c r="U388" s="98"/>
      <c r="V388" s="98"/>
      <c r="W388" s="98"/>
      <c r="X388" s="98"/>
      <c r="Y388" s="98"/>
      <c r="Z388" s="98"/>
      <c r="AA388" s="98"/>
      <c r="AB388" s="98"/>
      <c r="AC388" s="98"/>
      <c r="AD388" s="98"/>
      <c r="AE388" s="98"/>
      <c r="AF388" s="98"/>
      <c r="AG388" s="98"/>
      <c r="AH388" s="98"/>
      <c r="AI388" s="98"/>
      <c r="AJ388" s="98"/>
      <c r="AK388" s="98"/>
      <c r="AL388" s="98"/>
      <c r="AM388" s="98"/>
      <c r="AN388" s="98"/>
      <c r="AO388" s="98"/>
      <c r="AP388" s="98"/>
      <c r="AQ388" s="98"/>
      <c r="AR388" s="98"/>
      <c r="AS388" s="98"/>
      <c r="AT388" s="98"/>
      <c r="AU388" s="98"/>
      <c r="AV388" s="98"/>
      <c r="AW388" s="98"/>
      <c r="AX388" s="10"/>
      <c r="AY388" s="10"/>
    </row>
    <row r="389" spans="1:51" ht="14.25" hidden="1">
      <c r="A389" s="10"/>
      <c r="B389" s="10"/>
      <c r="C389" s="10"/>
      <c r="D389" s="10"/>
      <c r="E389" s="10"/>
      <c r="F389" s="10"/>
      <c r="G389" s="10"/>
      <c r="H389" s="10"/>
      <c r="I389" s="10"/>
      <c r="J389" s="10"/>
      <c r="K389" s="10"/>
      <c r="L389" s="98"/>
      <c r="M389" s="324"/>
      <c r="N389" s="10"/>
      <c r="O389" s="10"/>
      <c r="P389" s="10"/>
      <c r="Q389" s="10"/>
      <c r="R389" s="10"/>
      <c r="S389" s="10"/>
      <c r="T389" s="10"/>
      <c r="U389" s="98"/>
      <c r="V389" s="98"/>
      <c r="W389" s="98"/>
      <c r="X389" s="98"/>
      <c r="Y389" s="98"/>
      <c r="Z389" s="98"/>
      <c r="AA389" s="98"/>
      <c r="AB389" s="98"/>
      <c r="AC389" s="98"/>
      <c r="AD389" s="98"/>
      <c r="AE389" s="98"/>
      <c r="AF389" s="98"/>
      <c r="AG389" s="98"/>
      <c r="AH389" s="98"/>
      <c r="AI389" s="98"/>
      <c r="AJ389" s="98"/>
      <c r="AK389" s="98"/>
      <c r="AL389" s="98"/>
      <c r="AM389" s="98"/>
      <c r="AN389" s="98"/>
      <c r="AO389" s="98"/>
      <c r="AP389" s="98"/>
      <c r="AQ389" s="98"/>
      <c r="AR389" s="98"/>
      <c r="AS389" s="98"/>
      <c r="AT389" s="98"/>
      <c r="AU389" s="98"/>
      <c r="AV389" s="98"/>
      <c r="AW389" s="98"/>
      <c r="AX389" s="10"/>
      <c r="AY389" s="10"/>
    </row>
    <row r="390" spans="1:51" ht="14.25" hidden="1">
      <c r="A390" s="10"/>
      <c r="B390" s="10"/>
      <c r="C390" s="10"/>
      <c r="D390" s="10"/>
      <c r="E390" s="10"/>
      <c r="F390" s="10"/>
      <c r="G390" s="10"/>
      <c r="H390" s="10"/>
      <c r="I390" s="10"/>
      <c r="J390" s="10"/>
      <c r="K390" s="10"/>
      <c r="L390" s="98"/>
      <c r="M390" s="324"/>
      <c r="N390" s="10"/>
      <c r="O390" s="10"/>
      <c r="P390" s="10"/>
      <c r="Q390" s="10"/>
      <c r="R390" s="10"/>
      <c r="S390" s="10"/>
      <c r="T390" s="10"/>
      <c r="U390" s="98"/>
      <c r="V390" s="98"/>
      <c r="W390" s="98"/>
      <c r="X390" s="98"/>
      <c r="Y390" s="98"/>
      <c r="Z390" s="98"/>
      <c r="AA390" s="98"/>
      <c r="AB390" s="98"/>
      <c r="AC390" s="98"/>
      <c r="AD390" s="98"/>
      <c r="AE390" s="98"/>
      <c r="AF390" s="98"/>
      <c r="AG390" s="98"/>
      <c r="AH390" s="98"/>
      <c r="AI390" s="98"/>
      <c r="AJ390" s="98"/>
      <c r="AK390" s="98"/>
      <c r="AL390" s="98"/>
      <c r="AM390" s="98"/>
      <c r="AN390" s="98"/>
      <c r="AO390" s="98"/>
      <c r="AP390" s="98"/>
      <c r="AQ390" s="98"/>
      <c r="AR390" s="98"/>
      <c r="AS390" s="98"/>
      <c r="AT390" s="98"/>
      <c r="AU390" s="98"/>
      <c r="AV390" s="98"/>
      <c r="AW390" s="98"/>
      <c r="AX390" s="10"/>
      <c r="AY390" s="10"/>
    </row>
    <row r="391" spans="1:51" ht="14.25" hidden="1">
      <c r="A391" s="10"/>
      <c r="B391" s="10"/>
      <c r="C391" s="10"/>
      <c r="D391" s="10"/>
      <c r="E391" s="10"/>
      <c r="F391" s="10"/>
      <c r="G391" s="10"/>
      <c r="H391" s="10"/>
      <c r="I391" s="10"/>
      <c r="J391" s="10"/>
      <c r="K391" s="10"/>
      <c r="L391" s="98"/>
      <c r="M391" s="324"/>
      <c r="N391" s="10"/>
      <c r="O391" s="10"/>
      <c r="P391" s="10"/>
      <c r="Q391" s="10"/>
      <c r="R391" s="10"/>
      <c r="S391" s="10"/>
      <c r="T391" s="10"/>
      <c r="U391" s="98"/>
      <c r="V391" s="98"/>
      <c r="W391" s="98"/>
      <c r="X391" s="98"/>
      <c r="Y391" s="98"/>
      <c r="Z391" s="98"/>
      <c r="AA391" s="98"/>
      <c r="AB391" s="98"/>
      <c r="AC391" s="98"/>
      <c r="AD391" s="98"/>
      <c r="AE391" s="98"/>
      <c r="AF391" s="98"/>
      <c r="AG391" s="98"/>
      <c r="AH391" s="98"/>
      <c r="AI391" s="98"/>
      <c r="AJ391" s="98"/>
      <c r="AK391" s="98"/>
      <c r="AL391" s="98"/>
      <c r="AM391" s="98"/>
      <c r="AN391" s="98"/>
      <c r="AO391" s="98"/>
      <c r="AP391" s="98"/>
      <c r="AQ391" s="98"/>
      <c r="AR391" s="98"/>
      <c r="AS391" s="98"/>
      <c r="AT391" s="98"/>
      <c r="AU391" s="98"/>
      <c r="AV391" s="98"/>
      <c r="AW391" s="98"/>
      <c r="AX391" s="10"/>
      <c r="AY391" s="10"/>
    </row>
    <row r="392" spans="1:51" ht="14.25" hidden="1">
      <c r="A392" s="10"/>
      <c r="B392" s="10"/>
      <c r="C392" s="10"/>
      <c r="D392" s="10"/>
      <c r="E392" s="10"/>
      <c r="F392" s="10"/>
      <c r="G392" s="10"/>
      <c r="H392" s="10"/>
      <c r="I392" s="10"/>
      <c r="J392" s="10"/>
      <c r="K392" s="10"/>
      <c r="L392" s="98"/>
      <c r="M392" s="324"/>
      <c r="N392" s="10"/>
      <c r="O392" s="10"/>
      <c r="P392" s="10"/>
      <c r="Q392" s="10"/>
      <c r="R392" s="10"/>
      <c r="S392" s="10"/>
      <c r="T392" s="10"/>
      <c r="U392" s="98"/>
      <c r="V392" s="98"/>
      <c r="W392" s="98"/>
      <c r="X392" s="98"/>
      <c r="Y392" s="98"/>
      <c r="Z392" s="98"/>
      <c r="AA392" s="98"/>
      <c r="AB392" s="98"/>
      <c r="AC392" s="98"/>
      <c r="AD392" s="98"/>
      <c r="AE392" s="98"/>
      <c r="AF392" s="98"/>
      <c r="AG392" s="98"/>
      <c r="AH392" s="98"/>
      <c r="AI392" s="98"/>
      <c r="AJ392" s="98"/>
      <c r="AK392" s="98"/>
      <c r="AL392" s="98"/>
      <c r="AM392" s="98"/>
      <c r="AN392" s="98"/>
      <c r="AO392" s="98"/>
      <c r="AP392" s="98"/>
      <c r="AQ392" s="98"/>
      <c r="AR392" s="98"/>
      <c r="AS392" s="98"/>
      <c r="AT392" s="98"/>
      <c r="AU392" s="98"/>
      <c r="AV392" s="98"/>
      <c r="AW392" s="98"/>
      <c r="AX392" s="10"/>
      <c r="AY392" s="10"/>
    </row>
    <row r="393" spans="1:51" ht="14.25" hidden="1">
      <c r="A393" s="10"/>
      <c r="B393" s="10"/>
      <c r="C393" s="10"/>
      <c r="D393" s="10"/>
      <c r="E393" s="10"/>
      <c r="F393" s="10"/>
      <c r="G393" s="10"/>
      <c r="H393" s="10"/>
      <c r="I393" s="10"/>
      <c r="J393" s="10"/>
      <c r="K393" s="10"/>
      <c r="L393" s="98"/>
      <c r="M393" s="324"/>
      <c r="N393" s="10"/>
      <c r="O393" s="10"/>
      <c r="P393" s="10"/>
      <c r="Q393" s="10"/>
      <c r="R393" s="10"/>
      <c r="S393" s="10"/>
      <c r="T393" s="10"/>
      <c r="U393" s="98"/>
      <c r="V393" s="98"/>
      <c r="W393" s="98"/>
      <c r="X393" s="98"/>
      <c r="Y393" s="98"/>
      <c r="Z393" s="98"/>
      <c r="AA393" s="98"/>
      <c r="AB393" s="98"/>
      <c r="AC393" s="98"/>
      <c r="AD393" s="98"/>
      <c r="AE393" s="98"/>
      <c r="AF393" s="98"/>
      <c r="AG393" s="98"/>
      <c r="AH393" s="98"/>
      <c r="AI393" s="98"/>
      <c r="AJ393" s="98"/>
      <c r="AK393" s="98"/>
      <c r="AL393" s="98"/>
      <c r="AM393" s="98"/>
      <c r="AN393" s="98"/>
      <c r="AO393" s="98"/>
      <c r="AP393" s="98"/>
      <c r="AQ393" s="98"/>
      <c r="AR393" s="98"/>
      <c r="AS393" s="98"/>
      <c r="AT393" s="98"/>
      <c r="AU393" s="98"/>
      <c r="AV393" s="98"/>
      <c r="AW393" s="98"/>
      <c r="AX393" s="10"/>
      <c r="AY393" s="10"/>
    </row>
    <row r="394" spans="1:51" ht="14.25" hidden="1">
      <c r="A394" s="10"/>
      <c r="B394" s="10"/>
      <c r="C394" s="10"/>
      <c r="D394" s="10"/>
      <c r="E394" s="10"/>
      <c r="F394" s="10"/>
      <c r="G394" s="10"/>
      <c r="H394" s="10"/>
      <c r="I394" s="10"/>
      <c r="J394" s="10"/>
      <c r="K394" s="10"/>
      <c r="L394" s="98"/>
      <c r="M394" s="324"/>
      <c r="N394" s="10"/>
      <c r="O394" s="10"/>
      <c r="P394" s="10"/>
      <c r="Q394" s="10"/>
      <c r="R394" s="10"/>
      <c r="S394" s="10"/>
      <c r="T394" s="10"/>
      <c r="U394" s="98"/>
      <c r="V394" s="98"/>
      <c r="W394" s="98"/>
      <c r="X394" s="98"/>
      <c r="Y394" s="98"/>
      <c r="Z394" s="98"/>
      <c r="AA394" s="98"/>
      <c r="AB394" s="98"/>
      <c r="AC394" s="98"/>
      <c r="AD394" s="98"/>
      <c r="AE394" s="98"/>
      <c r="AF394" s="98"/>
      <c r="AG394" s="98"/>
      <c r="AH394" s="98"/>
      <c r="AI394" s="98"/>
      <c r="AJ394" s="98"/>
      <c r="AK394" s="98"/>
      <c r="AL394" s="98"/>
      <c r="AM394" s="98"/>
      <c r="AN394" s="98"/>
      <c r="AO394" s="98"/>
      <c r="AP394" s="98"/>
      <c r="AQ394" s="98"/>
      <c r="AR394" s="98"/>
      <c r="AS394" s="98"/>
      <c r="AT394" s="98"/>
      <c r="AU394" s="98"/>
      <c r="AV394" s="98"/>
      <c r="AW394" s="98"/>
      <c r="AX394" s="10"/>
      <c r="AY394" s="10"/>
    </row>
    <row r="395" spans="1:51" ht="14.25" hidden="1">
      <c r="A395" s="10"/>
      <c r="B395" s="10"/>
      <c r="C395" s="10"/>
      <c r="D395" s="10"/>
      <c r="E395" s="10"/>
      <c r="F395" s="10"/>
      <c r="G395" s="10"/>
      <c r="H395" s="10"/>
      <c r="I395" s="10"/>
      <c r="J395" s="10"/>
      <c r="K395" s="10"/>
      <c r="L395" s="98"/>
      <c r="M395" s="324"/>
      <c r="N395" s="10"/>
      <c r="O395" s="10"/>
      <c r="P395" s="10"/>
      <c r="Q395" s="10"/>
      <c r="R395" s="10"/>
      <c r="S395" s="10"/>
      <c r="T395" s="10"/>
      <c r="U395" s="98"/>
      <c r="V395" s="98"/>
      <c r="W395" s="98"/>
      <c r="X395" s="98"/>
      <c r="Y395" s="98"/>
      <c r="Z395" s="98"/>
      <c r="AA395" s="98"/>
      <c r="AB395" s="98"/>
      <c r="AC395" s="98"/>
      <c r="AD395" s="98"/>
      <c r="AE395" s="98"/>
      <c r="AF395" s="98"/>
      <c r="AG395" s="98"/>
      <c r="AH395" s="98"/>
      <c r="AI395" s="98"/>
      <c r="AJ395" s="98"/>
      <c r="AK395" s="98"/>
      <c r="AL395" s="98"/>
      <c r="AM395" s="98"/>
      <c r="AN395" s="98"/>
      <c r="AO395" s="98"/>
      <c r="AP395" s="98"/>
      <c r="AQ395" s="98"/>
      <c r="AR395" s="98"/>
      <c r="AS395" s="98"/>
      <c r="AT395" s="98"/>
      <c r="AU395" s="98"/>
      <c r="AV395" s="98"/>
      <c r="AW395" s="98"/>
      <c r="AX395" s="10"/>
      <c r="AY395" s="10"/>
    </row>
    <row r="396" spans="1:51" ht="14.25" hidden="1">
      <c r="A396" s="10"/>
      <c r="B396" s="10"/>
      <c r="C396" s="10"/>
      <c r="D396" s="10"/>
      <c r="E396" s="10"/>
      <c r="F396" s="10"/>
      <c r="G396" s="10"/>
      <c r="H396" s="10"/>
      <c r="I396" s="10"/>
      <c r="J396" s="10"/>
      <c r="K396" s="10"/>
      <c r="L396" s="98"/>
      <c r="M396" s="324"/>
      <c r="N396" s="10"/>
      <c r="O396" s="10"/>
      <c r="P396" s="10"/>
      <c r="Q396" s="10"/>
      <c r="R396" s="10"/>
      <c r="S396" s="10"/>
      <c r="T396" s="10"/>
      <c r="U396" s="98"/>
      <c r="V396" s="98"/>
      <c r="W396" s="98"/>
      <c r="X396" s="98"/>
      <c r="Y396" s="98"/>
      <c r="Z396" s="98"/>
      <c r="AA396" s="98"/>
      <c r="AB396" s="98"/>
      <c r="AC396" s="98"/>
      <c r="AD396" s="98"/>
      <c r="AE396" s="98"/>
      <c r="AF396" s="98"/>
      <c r="AG396" s="98"/>
      <c r="AH396" s="98"/>
      <c r="AI396" s="98"/>
      <c r="AJ396" s="98"/>
      <c r="AK396" s="98"/>
      <c r="AL396" s="98"/>
      <c r="AM396" s="98"/>
      <c r="AN396" s="98"/>
      <c r="AO396" s="98"/>
      <c r="AP396" s="98"/>
      <c r="AQ396" s="98"/>
      <c r="AR396" s="98"/>
      <c r="AS396" s="98"/>
      <c r="AT396" s="98"/>
      <c r="AU396" s="98"/>
      <c r="AV396" s="98"/>
      <c r="AW396" s="98"/>
      <c r="AX396" s="10"/>
      <c r="AY396" s="10"/>
    </row>
    <row r="397" spans="1:51" ht="20.100000000000001" hidden="1" customHeight="1"/>
    <row r="398" spans="1:51" ht="20.100000000000001" hidden="1" customHeight="1"/>
    <row r="399" spans="1:51" ht="20.100000000000001" hidden="1" customHeight="1"/>
    <row r="400" spans="1:51" ht="20.100000000000001" hidden="1" customHeight="1"/>
    <row r="401" ht="20.100000000000001" hidden="1" customHeight="1"/>
    <row r="402" ht="20.100000000000001" hidden="1" customHeight="1"/>
    <row r="403" ht="20.100000000000001" hidden="1" customHeight="1"/>
    <row r="404" ht="20.100000000000001" hidden="1" customHeight="1"/>
    <row r="405" ht="20.100000000000001" hidden="1" customHeight="1"/>
    <row r="406" ht="20.100000000000001" hidden="1" customHeight="1"/>
    <row r="407" ht="20.100000000000001" hidden="1" customHeight="1"/>
    <row r="408" ht="20.100000000000001" hidden="1" customHeight="1"/>
    <row r="409" ht="20.100000000000001" hidden="1" customHeight="1"/>
    <row r="410" ht="20.100000000000001" hidden="1" customHeight="1"/>
    <row r="411" ht="20.100000000000001" hidden="1" customHeight="1"/>
    <row r="412" ht="20.100000000000001" hidden="1" customHeight="1"/>
    <row r="413" ht="20.100000000000001" hidden="1" customHeight="1"/>
    <row r="414" ht="20.100000000000001" hidden="1" customHeight="1"/>
    <row r="415" ht="20.100000000000001" hidden="1" customHeight="1"/>
    <row r="416" ht="20.100000000000001" hidden="1" customHeight="1"/>
    <row r="417" ht="20.100000000000001" hidden="1" customHeight="1"/>
    <row r="418" ht="20.100000000000001" hidden="1" customHeight="1"/>
    <row r="419" ht="20.100000000000001" hidden="1" customHeight="1"/>
    <row r="420" ht="20.100000000000001" hidden="1" customHeight="1"/>
    <row r="421" ht="20.100000000000001" hidden="1" customHeight="1"/>
    <row r="422" ht="20.100000000000001" hidden="1" customHeight="1"/>
    <row r="423" ht="20.100000000000001" hidden="1" customHeight="1"/>
    <row r="424" ht="20.100000000000001" hidden="1" customHeight="1"/>
    <row r="425" ht="20.100000000000001" hidden="1" customHeight="1"/>
    <row r="426" ht="20.100000000000001" hidden="1" customHeight="1"/>
    <row r="427" ht="20.100000000000001" hidden="1" customHeight="1"/>
    <row r="428" ht="20.100000000000001" hidden="1" customHeight="1"/>
    <row r="429" ht="20.100000000000001" hidden="1" customHeight="1"/>
    <row r="430" ht="20.100000000000001" hidden="1" customHeight="1"/>
    <row r="431" ht="20.100000000000001" hidden="1" customHeight="1"/>
    <row r="432" ht="20.100000000000001" hidden="1" customHeight="1"/>
    <row r="433" ht="20.100000000000001" hidden="1" customHeight="1"/>
    <row r="434" ht="20.100000000000001" hidden="1" customHeight="1"/>
    <row r="435" ht="20.100000000000001" hidden="1" customHeight="1"/>
    <row r="436" ht="20.100000000000001" hidden="1" customHeight="1"/>
    <row r="437" ht="20.100000000000001" hidden="1" customHeight="1"/>
    <row r="438" ht="20.100000000000001" hidden="1" customHeight="1"/>
    <row r="439" ht="20.100000000000001" hidden="1" customHeight="1"/>
    <row r="440" ht="20.100000000000001" hidden="1" customHeight="1"/>
    <row r="441" ht="20.100000000000001" hidden="1" customHeight="1"/>
    <row r="442" ht="20.100000000000001" hidden="1" customHeight="1"/>
    <row r="443" ht="20.100000000000001" hidden="1" customHeight="1"/>
    <row r="444" ht="20.100000000000001" hidden="1" customHeight="1"/>
    <row r="445" ht="20.100000000000001" hidden="1" customHeight="1"/>
    <row r="446" ht="20.100000000000001" hidden="1" customHeight="1"/>
    <row r="447" ht="20.100000000000001" hidden="1" customHeight="1"/>
    <row r="448" ht="20.100000000000001" hidden="1" customHeight="1"/>
    <row r="449" ht="20.100000000000001" hidden="1" customHeight="1"/>
    <row r="450" ht="20.100000000000001" hidden="1" customHeight="1"/>
    <row r="451" ht="20.100000000000001" hidden="1" customHeight="1"/>
    <row r="452" ht="20.100000000000001" hidden="1" customHeight="1"/>
    <row r="453" ht="20.100000000000001" hidden="1" customHeight="1"/>
    <row r="454" ht="20.100000000000001" hidden="1" customHeight="1"/>
    <row r="455" ht="20.100000000000001" hidden="1" customHeight="1"/>
    <row r="456" ht="20.100000000000001" hidden="1" customHeight="1"/>
    <row r="457" ht="20.100000000000001" hidden="1" customHeight="1"/>
    <row r="458" ht="20.100000000000001" hidden="1" customHeight="1"/>
    <row r="459" ht="20.100000000000001" hidden="1" customHeight="1"/>
    <row r="460" ht="20.100000000000001" hidden="1" customHeight="1"/>
    <row r="461" ht="20.100000000000001" hidden="1" customHeight="1"/>
    <row r="462" ht="20.100000000000001" hidden="1" customHeight="1"/>
    <row r="463" ht="20.100000000000001" hidden="1" customHeight="1"/>
    <row r="464" ht="20.100000000000001" hidden="1" customHeight="1"/>
    <row r="465" ht="20.100000000000001" hidden="1" customHeight="1"/>
    <row r="466" ht="20.100000000000001" hidden="1" customHeight="1"/>
    <row r="467" ht="20.100000000000001" hidden="1" customHeight="1"/>
    <row r="468" ht="20.100000000000001" hidden="1" customHeight="1"/>
    <row r="469" ht="20.100000000000001" hidden="1" customHeight="1"/>
    <row r="470" ht="20.100000000000001" hidden="1" customHeight="1"/>
    <row r="471" ht="20.100000000000001" hidden="1" customHeight="1"/>
    <row r="472" ht="20.100000000000001" hidden="1" customHeight="1"/>
    <row r="473" ht="20.100000000000001" hidden="1" customHeight="1"/>
    <row r="474" ht="20.100000000000001" hidden="1" customHeight="1"/>
    <row r="475" ht="20.100000000000001" hidden="1" customHeight="1"/>
    <row r="476" ht="20.100000000000001" hidden="1" customHeight="1"/>
    <row r="477" ht="20.100000000000001" hidden="1" customHeight="1"/>
    <row r="478" ht="20.100000000000001" hidden="1" customHeight="1"/>
    <row r="479" ht="20.100000000000001" hidden="1" customHeight="1"/>
    <row r="480" ht="20.100000000000001" hidden="1" customHeight="1"/>
    <row r="481" ht="20.100000000000001" hidden="1" customHeight="1"/>
    <row r="482" ht="20.100000000000001" hidden="1" customHeight="1"/>
    <row r="483" ht="20.100000000000001" hidden="1" customHeight="1"/>
    <row r="484" ht="20.100000000000001" hidden="1" customHeight="1"/>
    <row r="485" ht="20.100000000000001" hidden="1" customHeight="1"/>
    <row r="486" ht="20.100000000000001" hidden="1" customHeight="1"/>
    <row r="487" ht="20.100000000000001" hidden="1" customHeight="1"/>
    <row r="488" ht="20.100000000000001" hidden="1" customHeight="1"/>
    <row r="489" ht="20.100000000000001" hidden="1" customHeight="1"/>
    <row r="490" ht="20.100000000000001" hidden="1" customHeight="1"/>
    <row r="491" ht="20.100000000000001" hidden="1" customHeight="1"/>
    <row r="492" ht="20.100000000000001" hidden="1" customHeight="1"/>
  </sheetData>
  <mergeCells count="19">
    <mergeCell ref="H182:H226"/>
    <mergeCell ref="J220:K220"/>
    <mergeCell ref="H228:H256"/>
    <mergeCell ref="H258:H301"/>
    <mergeCell ref="H303:H342"/>
    <mergeCell ref="H139:H180"/>
    <mergeCell ref="T25:AT25"/>
    <mergeCell ref="AV25:AW25"/>
    <mergeCell ref="T26:Z26"/>
    <mergeCell ref="AB26:AE26"/>
    <mergeCell ref="AG26:AK26"/>
    <mergeCell ref="AL26:AN26"/>
    <mergeCell ref="AO26:AP26"/>
    <mergeCell ref="AQ26:AS26"/>
    <mergeCell ref="J27:K27"/>
    <mergeCell ref="H33:I38"/>
    <mergeCell ref="H40:I46"/>
    <mergeCell ref="H48:H83"/>
    <mergeCell ref="H86:H137"/>
  </mergeCells>
  <pageMargins left="0.25" right="0.25" top="0.5" bottom="0.70000004768371504" header="0.30000001192092901" footer="0.30000001192092901"/>
  <pageSetup paperSize="5" scale="75" orientation="landscape" useFirstPageNumber="1" r:id="rId1"/>
  <headerFooter alignWithMargins="0">
    <oddHeader>&amp;R&amp;"Arial,Regular"&amp;10Fiscal Year 2010-11</oddHeader>
    <oddFooter>&amp;L&amp;"Arial,Regular"&amp;10Form Date: February 5, 2010_x000D_Print Date: &amp;D at &amp;T_x000D_&amp;F_x000D_Tab Name: INPUT SUMMARY_x000D_Page &amp;P of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Export Summary</vt:lpstr>
      <vt:lpstr>Assumptions</vt:lpstr>
      <vt:lpstr>Calculations - Table 1</vt:lpstr>
      <vt:lpstr>Revenue - Table 1</vt:lpstr>
      <vt:lpstr>Staffing Tool - Table 1</vt:lpstr>
      <vt:lpstr>Non-Salary - Table 1</vt:lpstr>
      <vt:lpstr>Totals - Table 1</vt:lpstr>
      <vt:lpstr>AVERAGE SALARY LOOKUP - Table 1</vt:lpstr>
      <vt:lpstr>INPUT SUMMARY - Table 1</vt:lpstr>
      <vt:lpstr>Budget</vt:lpstr>
      <vt:lpstr>Staffing</vt:lpstr>
      <vt:lpstr>Assumptions!Print_Area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Caley Miller</dc:creator>
  <cp:lastModifiedBy>DPS</cp:lastModifiedBy>
  <cp:lastPrinted>2011-04-26T18:33:24Z</cp:lastPrinted>
  <dcterms:created xsi:type="dcterms:W3CDTF">2011-03-21T18:20:17Z</dcterms:created>
  <dcterms:modified xsi:type="dcterms:W3CDTF">2011-04-28T19:01:48Z</dcterms:modified>
</cp:coreProperties>
</file>