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60" windowHeight="11580" activeTab="0"/>
  </bookViews>
  <sheets>
    <sheet name="IDEA Part B  FY10-11" sheetId="1" r:id="rId1"/>
    <sheet name="ACCESS alloactions" sheetId="2" state="hidden" r:id="rId2"/>
    <sheet name="Sheet1" sheetId="3" r:id="rId3"/>
  </sheets>
  <definedNames>
    <definedName name="_xlfn.IFERROR" hidden="1">#NAME?</definedName>
    <definedName name="_xlnm.Print_Titles" localSheetId="0">'IDEA Part B  FY10-11'!$1:$3</definedName>
  </definedNames>
  <calcPr fullCalcOnLoad="1"/>
</workbook>
</file>

<file path=xl/comments1.xml><?xml version="1.0" encoding="utf-8"?>
<comments xmlns="http://schemas.openxmlformats.org/spreadsheetml/2006/main">
  <authors>
    <author>wallaker_b</author>
    <author>graham_v</author>
    <author>Ferris_D</author>
    <author>Graham, Vicki</author>
  </authors>
  <commentList>
    <comment ref="B27" authorId="0">
      <text>
        <r>
          <rPr>
            <sz val="8"/>
            <rFont val="Tahoma"/>
            <family val="2"/>
          </rPr>
          <t>3140 Weld Re-8, Fort Lupton
3090 Weld Re-3, Keenesburg</t>
        </r>
      </text>
    </comment>
    <comment ref="B29" authorId="0">
      <text>
        <r>
          <rPr>
            <sz val="8"/>
            <rFont val="Tahoma"/>
            <family val="2"/>
          </rPr>
          <t xml:space="preserve">1360 Gunnison Re-1J, Gunnison
1380 Hinsdale Re 1, lake City
</t>
        </r>
      </text>
    </comment>
    <comment ref="B35" authorId="0">
      <text>
        <r>
          <rPr>
            <sz val="8"/>
            <rFont val="Tahoma"/>
            <family val="2"/>
          </rPr>
          <t xml:space="preserve">1980 Mesa 49Jt, DeBeque
1990 Mesa 50, Collbran
2000 Mesa 51, Gran Junction
</t>
        </r>
      </text>
    </comment>
    <comment ref="B44" authorId="0">
      <text>
        <r>
          <rPr>
            <sz val="8"/>
            <rFont val="Tahoma"/>
            <family val="2"/>
          </rPr>
          <t>0050 Bennet Adams 29J
0060 Strasburg Adams 31-J
0170 Deer Trail Arapahoe 26 J
0190 Byers Arapahoe 32-J
0510 Kit Carson Cheyenne R-1
0520 Cheyenne Wells Cheyenne RE-5
0920 Elizabeth C-1
0930 Kiowa Elbert C-2
0960 Agate Elbert 300
1450 Arriba/Flagler Kit Carson R-20
1460 High Plains Kit Carson R-23
1480 Stratton Kit Carson R-4
1490 Bethune Kit Carson R-5
1500 Burlington Kit Carson RE-6J
1780 Genoe/Hugo Lincoln C-113
1790 Limon Re-4J
1810 Karval Lincoln RE-23
3040 Arickaree Washington R-2
3070 Woodlin Washington R-104
3220 Idalia RJ-3
3230 Liberty (Joes) Liberty J-4</t>
        </r>
      </text>
    </comment>
    <comment ref="B45" authorId="0">
      <text>
        <r>
          <rPr>
            <sz val="8"/>
            <rFont val="Tahoma"/>
            <family val="2"/>
          </rPr>
          <t>0540 Clear Creek Re-1, Idaho Springs
1330 Gilpin Re-1, Central City
2600 Park 1, Platte Canyon</t>
        </r>
      </text>
    </comment>
    <comment ref="B46" authorId="0">
      <text>
        <r>
          <rPr>
            <sz val="8"/>
            <rFont val="Tahoma"/>
            <family val="2"/>
          </rPr>
          <t xml:space="preserve">0500 Salida RE-32, Chaffee
0490 Buena Vista R-31, Chaffee
0910 Eagle County RE 50, Eagle
1180 Roaring Fork RE-1, Garfield
1195 Garfield Re-2 , Garfield
1220 Garfield 16, Garfield
1510 Lake County R 1
2610 Park County RE-2
2640 Aspen 1, Pitkin
3000 Summit RE-1
</t>
        </r>
      </text>
    </comment>
    <comment ref="B47" authorId="0">
      <text>
        <r>
          <rPr>
            <sz val="8"/>
            <rFont val="Tahoma"/>
            <family val="2"/>
          </rPr>
          <t xml:space="preserve">1850 Logan RE-3, Fleming
1860 Logan RE-4J, Merino
1870 Logan RE-5, Peetz
2620 Phillips Re-1J, Holyoke
2630 Phillips Re-2J, Haxtun
2862 Sedwick Re-1, Julesburg
2865 Sedwick Re-3, Platte Valley
3030 Washington R-1, Akron
3050 Washington R-3, Otis 
3060 Washington 101, Lone Star
3200 Yuma R-J-1, Yuma
3210 Wray RD-2, Wray
</t>
        </r>
      </text>
    </comment>
    <comment ref="B48" authorId="0">
      <text>
        <r>
          <rPr>
            <sz val="8"/>
            <rFont val="Tahoma"/>
            <family val="2"/>
          </rPr>
          <t xml:space="preserve">1340 Grand 1, Kremmling 
1350 Grand 1, Granby 
1410 Jackson R-1, Walden
2760 Routt Re 1, Hayden 
2770 Routt Re 2, Steamboat Springs
2780 Routt Re 3, Oak Creek
</t>
        </r>
      </text>
    </comment>
    <comment ref="B49" authorId="0">
      <text>
        <r>
          <rPr>
            <sz val="8"/>
            <rFont val="Tahoma"/>
            <family val="2"/>
          </rPr>
          <t xml:space="preserve">0940 Elbert 100J (Big Sandy), Simla
0950 Elbert 200, Elbert
0970 El Paso RJ1, Calhan 
1050 El Paso 22, Ellicott
1060 El Paso 23 Jt, Peyton
1070 El Paso 28, Hanover
1120 El paso 54Jt, Edison
1130 El Paso 60Jt, Miami-Yoder
1150 Florence RE-2
</t>
        </r>
      </text>
    </comment>
    <comment ref="B50" authorId="0">
      <text>
        <r>
          <rPr>
            <sz val="8"/>
            <rFont val="Tahoma"/>
            <family val="2"/>
          </rPr>
          <t>0220 Archuleta 50 Jt, Pagosa Springs
1520 La Plata 9-R, Durango
1530 La Plata 10Jt-R, Bayfield 
1540 La Plata 11 Jt, Ignacio 
2820 San Juan 1, Silverton
0890 Dolores RE-2
2035 Montezuma-Cortez RE-1
2055 Dolores RE-4A
2070 Mancos RE-6
2055</t>
        </r>
      </text>
    </comment>
    <comment ref="B51" authorId="0">
      <text>
        <r>
          <rPr>
            <sz val="8"/>
            <rFont val="Tahoma"/>
            <family val="2"/>
          </rPr>
          <t xml:space="preserve">0100 Alamosa Re-11J, Alamosa
0110 Alamosa Re-22J, Sangre De Christo
0550 Conejos RE1J, La Jara
0560 Conejos 6J, Sanford
0580 Conejos Re10, Antonito
0640 Costilla R-1, San Luis
0740 Costilla R-30, Sierra Grande
2010 Mineral R1, Creede
2730 Rio Grande C-7, Del Norte
2740 Rio Grande C-8, Monte Vista
2750 Rio Grande Re-33J, Sargent
2790 Saguache Re 1, Mountain Valley
2800 Saguache 2, Moffat
2810 Saguache 26Jt, Center
</t>
        </r>
      </text>
    </comment>
    <comment ref="B52" authorId="0">
      <text>
        <r>
          <rPr>
            <sz val="8"/>
            <rFont val="Tahoma"/>
            <family val="2"/>
          </rPr>
          <t>0290 Bent RE-1, Las Animas
2520 Otero R 1, la Junta
2530 Otero R 2, Rocky Ford
2560 Otero 31, Cheraw
2570 Otero 33, Swink</t>
        </r>
      </text>
    </comment>
    <comment ref="B53" authorId="0">
      <text>
        <r>
          <rPr>
            <sz val="8"/>
            <rFont val="Tahoma"/>
            <family val="2"/>
          </rPr>
          <t>0770 Crowley County RE-1-J, Ordway</t>
        </r>
        <r>
          <rPr>
            <b/>
            <sz val="8"/>
            <rFont val="Tahoma"/>
            <family val="2"/>
          </rPr>
          <t xml:space="preserve">
</t>
        </r>
        <r>
          <rPr>
            <sz val="8"/>
            <rFont val="Tahoma"/>
            <family val="2"/>
          </rPr>
          <t>0860 Custer C-1, Westcliffe
1160 Fremont Re-3, Cotopaxi
1390 Huerfano Re-1, Walsenburg
1400 Huerfano Re-2, La Veta</t>
        </r>
        <r>
          <rPr>
            <sz val="8"/>
            <rFont val="Tahoma"/>
            <family val="2"/>
          </rPr>
          <t xml:space="preserve">
1580 Las Animas 1, Trinidad
1590 Las Animas 2, Weston (Primero)
1600 Las Animas 3, Hoehne 
1620 Las Animas 6, Aguilar
1750 Las Animas 82, Branson
2535 Otero 3J, Manzanola
2540 Otero R4J, Fowler
</t>
        </r>
      </text>
    </comment>
    <comment ref="B54" authorId="0">
      <text>
        <r>
          <rPr>
            <sz val="8"/>
            <rFont val="Tahoma"/>
            <family val="2"/>
          </rPr>
          <t xml:space="preserve">0230 Baca RE-1, Walsh 
0240 Baca RE-3, Prichett 
0250 Baca RE-4, Springfield 
0260 Baca RE-5, Vilas 
0270 Baca RE-6, Campo
0310 Bent RE-2, McClave
1430 Kiowa Re-1, Eads 
1440 Kiowa Re-2, Plainview 
1760 Las Animas 88, Kim 
2650 Prowers Re-1, Granada
2660 Prowers Re-2, Lamar
2670 Prowers Re-3, Holly 
2680 prowers Re-13Jt, Wiley </t>
        </r>
      </text>
    </comment>
    <comment ref="B55" authorId="0">
      <text>
        <r>
          <rPr>
            <sz val="8"/>
            <rFont val="Tahoma"/>
            <family val="2"/>
          </rPr>
          <t>2190 Montrose RE-2, West End
2580 Ouray R-1, Ouray
2590 Ouray R-2, Ridgway
2830 San Miguel R-1, Telluride
2840 Sam Miguel R-2J, Norwood</t>
        </r>
      </text>
    </comment>
    <comment ref="B56" authorId="0">
      <text>
        <r>
          <rPr>
            <sz val="8"/>
            <rFont val="Tahoma"/>
            <family val="2"/>
          </rPr>
          <t xml:space="preserve">2395 Morgan Re-2(J),  Brush
2505 Morgan Re-20(J), Weldon Valley
2515 Morgan Re-50(J), Wiggins
3080 Weld Re-1, Gilcrest
3085 Weld Re-2, Eaton
3130 Weld Re-7, Platte Valley 
3145 Weld Re-9, Ault 
3146 Weld Re-10, Briggsdale
3147 Weld RE-11, Prairie 
3148 Weld Re-12, Pawnee 
</t>
        </r>
      </text>
    </comment>
    <comment ref="B57" authorId="0">
      <text>
        <r>
          <rPr>
            <sz val="8"/>
            <rFont val="Tahoma"/>
            <family val="2"/>
          </rPr>
          <t>1030 El Paso 14, Manitou Springs
3010 Reller Re-1, Cripple Creek
3020 Teller RE-2, Woodland</t>
        </r>
      </text>
    </comment>
    <comment ref="B58" authorId="0">
      <text>
        <r>
          <rPr>
            <sz val="8"/>
            <rFont val="Tahoma"/>
            <family val="2"/>
          </rPr>
          <t>2710 Rio Blanco RE1, Meeker
2720 Rio Blanco RE4, Rangely</t>
        </r>
      </text>
    </comment>
    <comment ref="L19" authorId="1">
      <text>
        <r>
          <rPr>
            <b/>
            <sz val="8"/>
            <rFont val="Tahoma"/>
            <family val="2"/>
          </rPr>
          <t>graham_v:</t>
        </r>
        <r>
          <rPr>
            <sz val="8"/>
            <rFont val="Tahoma"/>
            <family val="2"/>
          </rPr>
          <t xml:space="preserve">
2 payments:
03/03/11 - $505,971
03/16/11 - $165,480
</t>
        </r>
      </text>
    </comment>
    <comment ref="L58" authorId="1">
      <text>
        <r>
          <rPr>
            <b/>
            <sz val="8"/>
            <rFont val="Tahoma"/>
            <family val="2"/>
          </rPr>
          <t>graham_v:</t>
        </r>
        <r>
          <rPr>
            <sz val="8"/>
            <rFont val="Tahoma"/>
            <family val="2"/>
          </rPr>
          <t xml:space="preserve">
2 payments:
03/07/11 - $49,258
03/16/11 - $11,147</t>
        </r>
      </text>
    </comment>
    <comment ref="L15" authorId="1">
      <text>
        <r>
          <rPr>
            <b/>
            <sz val="8"/>
            <rFont val="Tahoma"/>
            <family val="2"/>
          </rPr>
          <t>graham_v:</t>
        </r>
        <r>
          <rPr>
            <sz val="8"/>
            <rFont val="Tahoma"/>
            <family val="2"/>
          </rPr>
          <t xml:space="preserve">
2 payments:
03/16/11 - $292,013
03/30/11 - $264,268</t>
        </r>
      </text>
    </comment>
    <comment ref="Q55" authorId="2">
      <text>
        <r>
          <rPr>
            <b/>
            <sz val="8"/>
            <rFont val="Tahoma"/>
            <family val="2"/>
          </rPr>
          <t>Ferris_D:</t>
        </r>
        <r>
          <rPr>
            <sz val="8"/>
            <rFont val="Tahoma"/>
            <family val="2"/>
          </rPr>
          <t xml:space="preserve">
Close-out Payment 2010-2011</t>
        </r>
      </text>
    </comment>
    <comment ref="S42" authorId="1">
      <text>
        <r>
          <rPr>
            <b/>
            <sz val="8"/>
            <rFont val="Tahoma"/>
            <family val="2"/>
          </rPr>
          <t>graham_v:</t>
        </r>
        <r>
          <rPr>
            <sz val="8"/>
            <rFont val="Tahoma"/>
            <family val="2"/>
          </rPr>
          <t xml:space="preserve">
This amount was journalled at CDE back to 530A.  Weld 5 received a supplement that was not recorded, so the funds were not used, the journal entry was done to move expenditures back to 530 so the supplement would not be lost
</t>
        </r>
      </text>
    </comment>
    <comment ref="U17" authorId="1">
      <text>
        <r>
          <rPr>
            <b/>
            <sz val="8"/>
            <rFont val="Tahoma"/>
            <family val="2"/>
          </rPr>
          <t>graham_v:</t>
        </r>
        <r>
          <rPr>
            <sz val="8"/>
            <rFont val="Tahoma"/>
            <family val="2"/>
          </rPr>
          <t xml:space="preserve">
Returned cash on hand</t>
        </r>
      </text>
    </comment>
    <comment ref="U6" authorId="2">
      <text>
        <r>
          <rPr>
            <b/>
            <sz val="8"/>
            <rFont val="Tahoma"/>
            <family val="2"/>
          </rPr>
          <t>Ferris_D:</t>
        </r>
        <r>
          <rPr>
            <sz val="8"/>
            <rFont val="Tahoma"/>
            <family val="2"/>
          </rPr>
          <t xml:space="preserve">
Batch 727</t>
        </r>
      </text>
    </comment>
    <comment ref="V11" authorId="2">
      <text>
        <r>
          <rPr>
            <b/>
            <sz val="8"/>
            <rFont val="Tahoma"/>
            <family val="2"/>
          </rPr>
          <t>Ferris_D:</t>
        </r>
        <r>
          <rPr>
            <sz val="8"/>
            <rFont val="Tahoma"/>
            <family val="2"/>
          </rPr>
          <t xml:space="preserve">
Returned Check $559,439  1/2/12 for Cash on hand balance for EOY.  Jan 12 payment $598.303</t>
        </r>
      </text>
    </comment>
    <comment ref="V62" authorId="2">
      <text>
        <r>
          <rPr>
            <b/>
            <sz val="8"/>
            <rFont val="Tahoma"/>
            <family val="0"/>
          </rPr>
          <t>Ferris_D:</t>
        </r>
        <r>
          <rPr>
            <sz val="8"/>
            <rFont val="Tahoma"/>
            <family val="0"/>
          </rPr>
          <t xml:space="preserve">
IT-YYY-DAA12-50</t>
        </r>
      </text>
    </comment>
    <comment ref="D64" authorId="2">
      <text>
        <r>
          <rPr>
            <b/>
            <sz val="8"/>
            <rFont val="Tahoma"/>
            <family val="2"/>
          </rPr>
          <t>Ferris_D:</t>
        </r>
        <r>
          <rPr>
            <sz val="8"/>
            <rFont val="Tahoma"/>
            <family val="2"/>
          </rPr>
          <t xml:space="preserve">
(1) due to rounding</t>
        </r>
      </text>
    </comment>
    <comment ref="E64" authorId="2">
      <text>
        <r>
          <rPr>
            <b/>
            <sz val="8"/>
            <rFont val="Tahoma"/>
            <family val="2"/>
          </rPr>
          <t>Ferris_D:</t>
        </r>
        <r>
          <rPr>
            <sz val="8"/>
            <rFont val="Tahoma"/>
            <family val="2"/>
          </rPr>
          <t xml:space="preserve">
(1) due to rounding</t>
        </r>
      </text>
    </comment>
    <comment ref="X62" authorId="2">
      <text>
        <r>
          <rPr>
            <b/>
            <sz val="8"/>
            <rFont val="Tahoma"/>
            <family val="0"/>
          </rPr>
          <t>Ferris_D:</t>
        </r>
        <r>
          <rPr>
            <sz val="8"/>
            <rFont val="Tahoma"/>
            <family val="0"/>
          </rPr>
          <t xml:space="preserve">
IT-YYY-DAA12-052</t>
        </r>
      </text>
    </comment>
    <comment ref="X60" authorId="3">
      <text>
        <r>
          <rPr>
            <b/>
            <sz val="9"/>
            <rFont val="Tahoma"/>
            <family val="0"/>
          </rPr>
          <t>Graham, Vicki:</t>
        </r>
        <r>
          <rPr>
            <sz val="9"/>
            <rFont val="Tahoma"/>
            <family val="0"/>
          </rPr>
          <t xml:space="preserve">
IT-YYY-DAA12-130 dated 02/08/12 for $15,466, paid $28 from 531 and $15,438 from 532</t>
        </r>
      </text>
    </comment>
    <comment ref="AA61" authorId="3">
      <text>
        <r>
          <rPr>
            <b/>
            <sz val="9"/>
            <rFont val="Tahoma"/>
            <family val="0"/>
          </rPr>
          <t>Graham, Vicki:</t>
        </r>
        <r>
          <rPr>
            <sz val="9"/>
            <rFont val="Tahoma"/>
            <family val="0"/>
          </rPr>
          <t xml:space="preserve">
2 Its
IT-YYY-DAA12-119
IT-YYY-DAA12-181</t>
        </r>
      </text>
    </comment>
    <comment ref="AB13" authorId="2">
      <text>
        <r>
          <rPr>
            <b/>
            <sz val="8"/>
            <rFont val="Tahoma"/>
            <family val="0"/>
          </rPr>
          <t>Ferris_D:</t>
        </r>
        <r>
          <rPr>
            <sz val="8"/>
            <rFont val="Tahoma"/>
            <family val="0"/>
          </rPr>
          <t xml:space="preserve">
Batch 753 payment for $308,831 and $1,839,463 for JV to move payments from fund 532 to prevent having funds expire - Batch 754</t>
        </r>
      </text>
    </comment>
    <comment ref="AB37" authorId="2">
      <text>
        <r>
          <rPr>
            <b/>
            <sz val="8"/>
            <rFont val="Tahoma"/>
            <family val="0"/>
          </rPr>
          <t>Ferris_D:</t>
        </r>
        <r>
          <rPr>
            <sz val="8"/>
            <rFont val="Tahoma"/>
            <family val="0"/>
          </rPr>
          <t xml:space="preserve">
Batch 754 JV to move funds from 532 to prevent funds from expiring.
Batch 755 payment of $114,943</t>
        </r>
      </text>
    </comment>
    <comment ref="AB62" authorId="3">
      <text>
        <r>
          <rPr>
            <b/>
            <sz val="9"/>
            <rFont val="Tahoma"/>
            <family val="0"/>
          </rPr>
          <t>Graham, Vicki:</t>
        </r>
        <r>
          <rPr>
            <sz val="9"/>
            <rFont val="Tahoma"/>
            <family val="0"/>
          </rPr>
          <t xml:space="preserve">
IT-YYY-DAA12-189 for $33,835, split funded between 531 ($12,609) and 532 ($21,226)</t>
        </r>
      </text>
    </comment>
    <comment ref="AC61" authorId="3">
      <text>
        <r>
          <rPr>
            <b/>
            <sz val="9"/>
            <rFont val="Tahoma"/>
            <family val="0"/>
          </rPr>
          <t>Graham, Vicki:</t>
        </r>
        <r>
          <rPr>
            <sz val="9"/>
            <rFont val="Tahoma"/>
            <family val="0"/>
          </rPr>
          <t xml:space="preserve">
IT-YYY-DAA13-006 for $29,493, split funded between 531 ($19,607) and 532 ($9,886)</t>
        </r>
      </text>
    </comment>
    <comment ref="AD59" authorId="2">
      <text>
        <r>
          <rPr>
            <b/>
            <sz val="8"/>
            <rFont val="Tahoma"/>
            <family val="0"/>
          </rPr>
          <t>Ferris_D:</t>
        </r>
        <r>
          <rPr>
            <sz val="8"/>
            <rFont val="Tahoma"/>
            <family val="0"/>
          </rPr>
          <t xml:space="preserve">
IT-YYY-DAA-13-024    
Batch 770</t>
        </r>
      </text>
    </comment>
  </commentList>
</comments>
</file>

<file path=xl/sharedStrings.xml><?xml version="1.0" encoding="utf-8"?>
<sst xmlns="http://schemas.openxmlformats.org/spreadsheetml/2006/main" count="257" uniqueCount="174">
  <si>
    <t>Administrative Unit code</t>
  </si>
  <si>
    <t>District name</t>
  </si>
  <si>
    <t>County name</t>
  </si>
  <si>
    <t>Grant code 4027</t>
  </si>
  <si>
    <t>01010</t>
  </si>
  <si>
    <t>Adams 1, Mapleton</t>
  </si>
  <si>
    <t>Adams</t>
  </si>
  <si>
    <t>01020</t>
  </si>
  <si>
    <t>Adams 12, Northglenn-Thornton</t>
  </si>
  <si>
    <t>01030</t>
  </si>
  <si>
    <t>Adams 14, Commerce City</t>
  </si>
  <si>
    <t>01040</t>
  </si>
  <si>
    <t>Adams 27J, Brighton</t>
  </si>
  <si>
    <t>01070</t>
  </si>
  <si>
    <t>Adams 50, Westminster</t>
  </si>
  <si>
    <t>03010</t>
  </si>
  <si>
    <t>Arapahoe 1, Englewood</t>
  </si>
  <si>
    <t>Arapahoe</t>
  </si>
  <si>
    <t>03020</t>
  </si>
  <si>
    <t>Arapahoe 2, Sheridan</t>
  </si>
  <si>
    <t>03030</t>
  </si>
  <si>
    <t>Arapahoe 5, Cherry Creek</t>
  </si>
  <si>
    <t>03040</t>
  </si>
  <si>
    <t>Arapahoe 6, Littleton</t>
  </si>
  <si>
    <t>03060</t>
  </si>
  <si>
    <t>Adams-Arapahoe 28J, Aurora</t>
  </si>
  <si>
    <t>07010</t>
  </si>
  <si>
    <t>Boulder RE1J, St. Vrain Valley</t>
  </si>
  <si>
    <t>Boulder</t>
  </si>
  <si>
    <t>07020</t>
  </si>
  <si>
    <t>Boulder RE2, Boulder Valley</t>
  </si>
  <si>
    <t>15010</t>
  </si>
  <si>
    <t>Delta 50(J), Delta</t>
  </si>
  <si>
    <t>Delta</t>
  </si>
  <si>
    <t>16010</t>
  </si>
  <si>
    <t>Denver 1, Denver</t>
  </si>
  <si>
    <t>Denver</t>
  </si>
  <si>
    <t>18010</t>
  </si>
  <si>
    <t>Douglas Re 1, Castle Rock</t>
  </si>
  <si>
    <t>Douglas</t>
  </si>
  <si>
    <t>21020</t>
  </si>
  <si>
    <t>El Paso 2, Harrison</t>
  </si>
  <si>
    <t>El Paso</t>
  </si>
  <si>
    <t>21030</t>
  </si>
  <si>
    <t>El Paso 3, Widefield</t>
  </si>
  <si>
    <t>21040</t>
  </si>
  <si>
    <t>El Paso 8, Fountain</t>
  </si>
  <si>
    <t>21050</t>
  </si>
  <si>
    <t>El Paso 11, Colorado Springs</t>
  </si>
  <si>
    <t>21060</t>
  </si>
  <si>
    <t>El Paso 12, Cheyenne Mountain</t>
  </si>
  <si>
    <t>21080</t>
  </si>
  <si>
    <t>El Paso 20, Academy</t>
  </si>
  <si>
    <t>21085</t>
  </si>
  <si>
    <t>El Paso 38, Lewis-Palmer</t>
  </si>
  <si>
    <t>21090</t>
  </si>
  <si>
    <t>El Paso 49, Falcon</t>
  </si>
  <si>
    <t>21490</t>
  </si>
  <si>
    <t>Fort Lupton/Keenesburg</t>
  </si>
  <si>
    <t>Weld</t>
  </si>
  <si>
    <t>22010</t>
  </si>
  <si>
    <t>Fremont Re-1, Canon City</t>
  </si>
  <si>
    <t>Fremont</t>
  </si>
  <si>
    <t>26011</t>
  </si>
  <si>
    <t>Gunnison RE-1J</t>
  </si>
  <si>
    <t>Gunnison</t>
  </si>
  <si>
    <t>30011</t>
  </si>
  <si>
    <t>Jefferson R-1, Lakewood</t>
  </si>
  <si>
    <t>Jefferson</t>
  </si>
  <si>
    <t>35010</t>
  </si>
  <si>
    <t>Larimer R-1, Poudre</t>
  </si>
  <si>
    <t>Larimer</t>
  </si>
  <si>
    <t>35020</t>
  </si>
  <si>
    <t>Larimer R-2J, Thompson</t>
  </si>
  <si>
    <t>35030</t>
  </si>
  <si>
    <t>Larimer R-3, Park</t>
  </si>
  <si>
    <t>38010</t>
  </si>
  <si>
    <t>Logan Re-1, Valley</t>
  </si>
  <si>
    <t>Logan</t>
  </si>
  <si>
    <t>39031</t>
  </si>
  <si>
    <t>Mesa 51, Grand Junction</t>
  </si>
  <si>
    <t>Mesa</t>
  </si>
  <si>
    <t>41010</t>
  </si>
  <si>
    <t>Moffat Re 1, Craig</t>
  </si>
  <si>
    <t>Moffat</t>
  </si>
  <si>
    <t>43010</t>
  </si>
  <si>
    <t>Montrose Re-1J, Montrose</t>
  </si>
  <si>
    <t>Montrose</t>
  </si>
  <si>
    <t>44020</t>
  </si>
  <si>
    <t>Morgan Re-3, Fort Morgan</t>
  </si>
  <si>
    <t>Morgan</t>
  </si>
  <si>
    <t>51010</t>
  </si>
  <si>
    <t>Pueblo 60, Urban</t>
  </si>
  <si>
    <t>Pueblo</t>
  </si>
  <si>
    <t>51020</t>
  </si>
  <si>
    <t>Pueblo 70, Rural</t>
  </si>
  <si>
    <t>62040</t>
  </si>
  <si>
    <t>Weld Re-4, Windsor</t>
  </si>
  <si>
    <t>62060</t>
  </si>
  <si>
    <t>Weld 6, Greeley</t>
  </si>
  <si>
    <t>64043</t>
  </si>
  <si>
    <t>East Central BOCES</t>
  </si>
  <si>
    <t>64053</t>
  </si>
  <si>
    <t>Mt. Evans BOCS</t>
  </si>
  <si>
    <t>64083</t>
  </si>
  <si>
    <t>64093</t>
  </si>
  <si>
    <t>Mountain BOCS</t>
  </si>
  <si>
    <t>64103</t>
  </si>
  <si>
    <t>Northeast Colorado BOCES</t>
  </si>
  <si>
    <t>64123</t>
  </si>
  <si>
    <t>Northwest Colorado BOCS</t>
  </si>
  <si>
    <t>64133</t>
  </si>
  <si>
    <t>Pikes Peak BOCS</t>
  </si>
  <si>
    <t>64143</t>
  </si>
  <si>
    <t>San Juan BOCS</t>
  </si>
  <si>
    <t>64153</t>
  </si>
  <si>
    <t>San Luis Valley BOCS</t>
  </si>
  <si>
    <t>64160</t>
  </si>
  <si>
    <t>Santa Fe Trail BOCES</t>
  </si>
  <si>
    <t>64163</t>
  </si>
  <si>
    <t>South Central BOCS</t>
  </si>
  <si>
    <t>64193</t>
  </si>
  <si>
    <t>Southeastern BOCES</t>
  </si>
  <si>
    <t>64200</t>
  </si>
  <si>
    <t>Uncompahgre BOCS</t>
  </si>
  <si>
    <t>64203</t>
  </si>
  <si>
    <t>Centennial BOCES</t>
  </si>
  <si>
    <t>64205</t>
  </si>
  <si>
    <t>Ute Pass BOCES</t>
  </si>
  <si>
    <t>64213</t>
  </si>
  <si>
    <t>Rio Blanco BOCS</t>
  </si>
  <si>
    <t>Colorado School of Deaf/Blind</t>
  </si>
  <si>
    <t>80010</t>
  </si>
  <si>
    <t>Charter School Institute</t>
  </si>
  <si>
    <t>66050</t>
  </si>
  <si>
    <t>66060</t>
  </si>
  <si>
    <t>66070</t>
  </si>
  <si>
    <t>66080</t>
  </si>
  <si>
    <t>September 2010</t>
  </si>
  <si>
    <t>Weld 5, Johnstown-Milliken</t>
  </si>
  <si>
    <t>October 2010</t>
  </si>
  <si>
    <t>November 2010</t>
  </si>
  <si>
    <t>December 2010</t>
  </si>
  <si>
    <t>January 2011</t>
  </si>
  <si>
    <t>Februrary 2011</t>
  </si>
  <si>
    <t>March 2011</t>
  </si>
  <si>
    <t>April   2011</t>
  </si>
  <si>
    <t>May       2011</t>
  </si>
  <si>
    <t>June 2011</t>
  </si>
  <si>
    <t>July   2011</t>
  </si>
  <si>
    <t>August 2011</t>
  </si>
  <si>
    <t>September 2011</t>
  </si>
  <si>
    <r>
      <t xml:space="preserve">FY 2011 Remaining allocation  </t>
    </r>
    <r>
      <rPr>
        <b/>
        <sz val="10"/>
        <color indexed="10"/>
        <rFont val="Arial"/>
        <family val="2"/>
      </rPr>
      <t>Fund 531</t>
    </r>
  </si>
  <si>
    <r>
      <t xml:space="preserve">Received to date for       </t>
    </r>
    <r>
      <rPr>
        <b/>
        <sz val="8"/>
        <color indexed="10"/>
        <rFont val="Arial"/>
        <family val="2"/>
      </rPr>
      <t>Fund 531</t>
    </r>
  </si>
  <si>
    <t>na_no</t>
  </si>
  <si>
    <t>award</t>
  </si>
  <si>
    <t>62050</t>
  </si>
  <si>
    <t>CMHI-Pueblo</t>
  </si>
  <si>
    <t>Colorado Dept of Corrections</t>
  </si>
  <si>
    <t>Division of Youth Services</t>
  </si>
  <si>
    <t>IDEA Part B - FY 11 Funds - Expire 09/30/12</t>
  </si>
  <si>
    <r>
      <t xml:space="preserve">FY 2011 Allocation and Supplement amount  </t>
    </r>
    <r>
      <rPr>
        <b/>
        <sz val="10"/>
        <color indexed="10"/>
        <rFont val="Arial"/>
        <family val="2"/>
      </rPr>
      <t xml:space="preserve">  Fund 531</t>
    </r>
  </si>
  <si>
    <t>October 2011</t>
  </si>
  <si>
    <t>November 2011</t>
  </si>
  <si>
    <t>December 2011</t>
  </si>
  <si>
    <t>March 2012</t>
  </si>
  <si>
    <t>Februrary 2012</t>
  </si>
  <si>
    <t>January 2012</t>
  </si>
  <si>
    <t>April 2012</t>
  </si>
  <si>
    <t>May 2012</t>
  </si>
  <si>
    <t xml:space="preserve">June 2012 </t>
  </si>
  <si>
    <t>July 2012</t>
  </si>
  <si>
    <t>August 2012</t>
  </si>
  <si>
    <t>September 2012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</si>
</sst>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quot;$&quot;#,##0\)"/>
    <numFmt numFmtId="166" formatCode="&quot;$&quot;#,##0.0"/>
    <numFmt numFmtId="167" formatCode="&quot;$&quot;#,##0.00"/>
    <numFmt numFmtId="168" formatCode="[$-409]dddd\,\ mmmm\ dd\,\ yyyy"/>
  </numFmts>
  <fonts count="45">
    <font>
      <sz val="10"/>
      <name val="Arial"/>
      <family val="0"/>
    </font>
    <font>
      <sz val="11"/>
      <color indexed="8"/>
      <name val="Calibri"/>
      <family val="2"/>
    </font>
    <font>
      <b/>
      <sz val="10"/>
      <color indexed="10"/>
      <name val="Arial"/>
      <family val="2"/>
    </font>
    <font>
      <sz val="8"/>
      <name val="Arial"/>
      <family val="2"/>
    </font>
    <font>
      <b/>
      <sz val="8"/>
      <color indexed="10"/>
      <name val="Arial"/>
      <family val="2"/>
    </font>
    <font>
      <b/>
      <sz val="8"/>
      <name val="Arial"/>
      <family val="2"/>
    </font>
    <font>
      <b/>
      <sz val="10"/>
      <name val="Arial"/>
      <family val="2"/>
    </font>
    <font>
      <b/>
      <sz val="8"/>
      <name val="Tahoma"/>
      <family val="2"/>
    </font>
    <font>
      <sz val="8"/>
      <name val="Tahoma"/>
      <family val="2"/>
    </font>
    <font>
      <sz val="10"/>
      <color indexed="8"/>
      <name val="Arial"/>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double"/>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s>
  <cellStyleXfs count="64">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28" fillId="0" borderId="0" applyFont="0" applyFill="0" applyBorder="0" applyAlignment="0" applyProtection="0"/>
    <xf numFmtId="3" fontId="0"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8" fillId="0" borderId="0">
      <alignment/>
      <protection/>
    </xf>
    <xf numFmtId="0" fontId="9" fillId="0" borderId="0">
      <alignment/>
      <protection/>
    </xf>
    <xf numFmtId="0" fontId="28" fillId="32" borderId="7" applyNumberFormat="0" applyFont="0" applyAlignment="0" applyProtection="0"/>
    <xf numFmtId="0" fontId="41" fillId="27" borderId="8" applyNumberFormat="0" applyAlignment="0" applyProtection="0"/>
    <xf numFmtId="9" fontId="28"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horizontal="center" wrapText="1"/>
    </xf>
    <xf numFmtId="0" fontId="0" fillId="0" borderId="0" xfId="0" applyAlignment="1">
      <alignment horizontal="center" wrapText="1"/>
    </xf>
    <xf numFmtId="49" fontId="3" fillId="0" borderId="0" xfId="0" applyNumberFormat="1" applyFont="1" applyAlignment="1">
      <alignment horizontal="center" wrapText="1"/>
    </xf>
    <xf numFmtId="49" fontId="0" fillId="0" borderId="0" xfId="0" applyNumberFormat="1" applyAlignment="1">
      <alignment horizontal="center" wrapText="1"/>
    </xf>
    <xf numFmtId="0" fontId="0" fillId="33" borderId="0" xfId="0" applyFill="1" applyAlignment="1">
      <alignment horizontal="center" wrapText="1"/>
    </xf>
    <xf numFmtId="3" fontId="5" fillId="0" borderId="0" xfId="44" applyFont="1" applyAlignment="1">
      <alignment horizontal="center"/>
    </xf>
    <xf numFmtId="3" fontId="5" fillId="0" borderId="0" xfId="44" applyFont="1" applyBorder="1" applyAlignment="1">
      <alignment/>
    </xf>
    <xf numFmtId="164" fontId="5" fillId="0" borderId="0" xfId="42" applyNumberFormat="1" applyFont="1" applyBorder="1" applyAlignment="1">
      <alignment/>
    </xf>
    <xf numFmtId="164" fontId="5" fillId="0" borderId="0" xfId="0" applyNumberFormat="1" applyFont="1" applyBorder="1" applyAlignment="1">
      <alignment/>
    </xf>
    <xf numFmtId="164" fontId="0" fillId="0" borderId="0" xfId="0" applyNumberFormat="1" applyAlignment="1">
      <alignment/>
    </xf>
    <xf numFmtId="164" fontId="3" fillId="0" borderId="0" xfId="0" applyNumberFormat="1" applyFont="1" applyAlignment="1">
      <alignment/>
    </xf>
    <xf numFmtId="164" fontId="3" fillId="0" borderId="0" xfId="0" applyNumberFormat="1" applyFont="1" applyAlignment="1">
      <alignment/>
    </xf>
    <xf numFmtId="3" fontId="5" fillId="0" borderId="0" xfId="44" applyFont="1" applyFill="1" applyBorder="1" applyAlignment="1">
      <alignment/>
    </xf>
    <xf numFmtId="0" fontId="6" fillId="0" borderId="0" xfId="0" applyFont="1" applyBorder="1" applyAlignment="1">
      <alignment/>
    </xf>
    <xf numFmtId="3" fontId="5" fillId="0" borderId="0" xfId="44" applyFont="1" applyBorder="1" applyAlignment="1">
      <alignment horizontal="center"/>
    </xf>
    <xf numFmtId="164" fontId="5" fillId="0" borderId="10" xfId="0" applyNumberFormat="1" applyFont="1" applyBorder="1" applyAlignment="1">
      <alignment/>
    </xf>
    <xf numFmtId="164" fontId="3" fillId="0" borderId="10" xfId="0" applyNumberFormat="1" applyFont="1" applyBorder="1" applyAlignment="1">
      <alignment/>
    </xf>
    <xf numFmtId="164" fontId="3" fillId="0" borderId="0" xfId="0" applyNumberFormat="1" applyFont="1" applyFill="1" applyBorder="1" applyAlignment="1">
      <alignment/>
    </xf>
    <xf numFmtId="0" fontId="3" fillId="0" borderId="0" xfId="0" applyFont="1" applyAlignment="1">
      <alignment/>
    </xf>
    <xf numFmtId="1" fontId="5" fillId="0" borderId="0" xfId="44" applyNumberFormat="1" applyFont="1" applyBorder="1" applyAlignment="1" quotePrefix="1">
      <alignment horizontal="center"/>
    </xf>
    <xf numFmtId="0" fontId="1" fillId="34" borderId="11" xfId="57" applyFont="1" applyFill="1" applyBorder="1" applyAlignment="1">
      <alignment horizontal="center"/>
      <protection/>
    </xf>
    <xf numFmtId="0" fontId="1" fillId="0" borderId="12" xfId="57" applyFont="1" applyFill="1" applyBorder="1" applyAlignment="1">
      <alignment wrapText="1"/>
      <protection/>
    </xf>
    <xf numFmtId="165" fontId="1" fillId="0" borderId="12" xfId="57" applyNumberFormat="1" applyFont="1" applyFill="1" applyBorder="1" applyAlignment="1">
      <alignment horizontal="right" wrapText="1"/>
      <protection/>
    </xf>
    <xf numFmtId="3" fontId="5" fillId="0" borderId="0" xfId="44" applyFont="1" applyAlignment="1" quotePrefix="1">
      <alignment horizontal="center"/>
    </xf>
    <xf numFmtId="42" fontId="3" fillId="0" borderId="0" xfId="0" applyNumberFormat="1" applyFont="1" applyAlignment="1">
      <alignment/>
    </xf>
    <xf numFmtId="42" fontId="3" fillId="0" borderId="10" xfId="0" applyNumberFormat="1" applyFont="1" applyBorder="1" applyAlignment="1">
      <alignment/>
    </xf>
    <xf numFmtId="44" fontId="3" fillId="0" borderId="0" xfId="0" applyNumberFormat="1" applyFont="1" applyAlignment="1">
      <alignment/>
    </xf>
    <xf numFmtId="0" fontId="6" fillId="9"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AF66"/>
  <sheetViews>
    <sheetView tabSelected="1" zoomScale="110" zoomScaleNormal="110" zoomScalePageLayoutView="0" workbookViewId="0" topLeftCell="A1">
      <pane xSplit="5" ySplit="3" topLeftCell="Z4" activePane="bottomRight" state="frozen"/>
      <selection pane="topLeft" activeCell="A1" sqref="A1"/>
      <selection pane="topRight" activeCell="F1" sqref="F1"/>
      <selection pane="bottomLeft" activeCell="A3" sqref="A3"/>
      <selection pane="bottomRight" activeCell="AD64" sqref="AD64"/>
    </sheetView>
  </sheetViews>
  <sheetFormatPr defaultColWidth="9.140625" defaultRowHeight="12.75"/>
  <cols>
    <col min="1" max="1" width="12.57421875" style="0" customWidth="1"/>
    <col min="2" max="2" width="28.28125" style="0" bestFit="1" customWidth="1"/>
    <col min="3" max="3" width="12.00390625" style="0" bestFit="1" customWidth="1"/>
    <col min="4" max="5" width="15.140625" style="0" bestFit="1" customWidth="1"/>
    <col min="6" max="6" width="10.8515625" style="0" customWidth="1"/>
    <col min="7" max="7" width="9.57421875" style="0" customWidth="1"/>
    <col min="8" max="8" width="9.140625" style="0" customWidth="1"/>
    <col min="9" max="9" width="9.57421875" style="0" customWidth="1"/>
    <col min="10" max="10" width="9.28125" style="0" bestFit="1" customWidth="1"/>
    <col min="11" max="11" width="8.7109375" style="0" bestFit="1" customWidth="1"/>
    <col min="12" max="12" width="10.00390625" style="0" customWidth="1"/>
    <col min="13" max="13" width="9.57421875" style="0" bestFit="1" customWidth="1"/>
    <col min="14" max="14" width="10.8515625" style="0" customWidth="1"/>
    <col min="15" max="15" width="8.7109375" style="0" bestFit="1" customWidth="1"/>
    <col min="16" max="16" width="9.57421875" style="0" bestFit="1" customWidth="1"/>
    <col min="17" max="17" width="8.7109375" style="0" bestFit="1" customWidth="1"/>
    <col min="18" max="20" width="10.28125" style="0" customWidth="1"/>
    <col min="21" max="21" width="9.8515625" style="0" bestFit="1" customWidth="1"/>
    <col min="22" max="22" width="10.00390625" style="0" bestFit="1" customWidth="1"/>
    <col min="23" max="23" width="9.421875" style="0" customWidth="1"/>
    <col min="24" max="24" width="9.00390625" style="0" bestFit="1" customWidth="1"/>
    <col min="25" max="25" width="10.00390625" style="0" customWidth="1"/>
    <col min="26" max="26" width="10.140625" style="0" customWidth="1"/>
    <col min="27" max="27" width="11.57421875" style="0" customWidth="1"/>
    <col min="28" max="28" width="9.00390625" style="0" bestFit="1" customWidth="1"/>
    <col min="29" max="29" width="10.00390625" style="0" customWidth="1"/>
    <col min="30" max="30" width="10.7109375" style="0" customWidth="1"/>
    <col min="31" max="31" width="10.8515625" style="19" bestFit="1" customWidth="1"/>
    <col min="32" max="32" width="4.421875" style="0" customWidth="1"/>
    <col min="33" max="33" width="5.28125" style="0" bestFit="1" customWidth="1"/>
    <col min="34" max="34" width="9.00390625" style="0" bestFit="1" customWidth="1"/>
    <col min="35" max="35" width="12.7109375" style="0" bestFit="1" customWidth="1"/>
    <col min="36" max="36" width="0" style="0" hidden="1" customWidth="1"/>
    <col min="37" max="37" width="26.140625" style="0" customWidth="1"/>
    <col min="38" max="38" width="11.7109375" style="0" bestFit="1" customWidth="1"/>
  </cols>
  <sheetData>
    <row r="1" spans="1:5" ht="27" customHeight="1">
      <c r="A1" s="28" t="s">
        <v>160</v>
      </c>
      <c r="B1" s="28"/>
      <c r="C1" s="28"/>
      <c r="D1" s="28"/>
      <c r="E1" s="28"/>
    </row>
    <row r="2" spans="1:32" ht="63.75">
      <c r="A2" s="1" t="s">
        <v>0</v>
      </c>
      <c r="B2" s="1" t="s">
        <v>1</v>
      </c>
      <c r="C2" s="1" t="s">
        <v>2</v>
      </c>
      <c r="D2" s="2" t="s">
        <v>161</v>
      </c>
      <c r="E2" s="2" t="s">
        <v>152</v>
      </c>
      <c r="F2" s="4" t="s">
        <v>138</v>
      </c>
      <c r="G2" s="4" t="s">
        <v>140</v>
      </c>
      <c r="H2" s="4" t="s">
        <v>141</v>
      </c>
      <c r="I2" s="4" t="s">
        <v>142</v>
      </c>
      <c r="J2" s="4" t="s">
        <v>143</v>
      </c>
      <c r="K2" s="4" t="s">
        <v>144</v>
      </c>
      <c r="L2" s="4" t="s">
        <v>145</v>
      </c>
      <c r="M2" s="4" t="s">
        <v>146</v>
      </c>
      <c r="N2" s="4" t="s">
        <v>147</v>
      </c>
      <c r="O2" s="4" t="s">
        <v>148</v>
      </c>
      <c r="P2" s="4" t="s">
        <v>149</v>
      </c>
      <c r="Q2" s="4" t="s">
        <v>150</v>
      </c>
      <c r="R2" s="4" t="s">
        <v>151</v>
      </c>
      <c r="S2" s="4" t="s">
        <v>162</v>
      </c>
      <c r="T2" s="4" t="s">
        <v>163</v>
      </c>
      <c r="U2" s="4" t="s">
        <v>164</v>
      </c>
      <c r="V2" s="4" t="s">
        <v>167</v>
      </c>
      <c r="W2" s="4" t="s">
        <v>166</v>
      </c>
      <c r="X2" s="4" t="s">
        <v>165</v>
      </c>
      <c r="Y2" s="4" t="s">
        <v>168</v>
      </c>
      <c r="Z2" s="4" t="s">
        <v>169</v>
      </c>
      <c r="AA2" s="4" t="s">
        <v>170</v>
      </c>
      <c r="AB2" s="4" t="s">
        <v>171</v>
      </c>
      <c r="AC2" s="4" t="s">
        <v>172</v>
      </c>
      <c r="AD2" s="4" t="s">
        <v>173</v>
      </c>
      <c r="AE2" s="3" t="s">
        <v>153</v>
      </c>
      <c r="AF2" s="4"/>
    </row>
    <row r="3" spans="1:32" ht="25.5" customHeight="1">
      <c r="A3" s="2"/>
      <c r="B3" s="2"/>
      <c r="C3" s="2"/>
      <c r="D3" s="5" t="s">
        <v>3</v>
      </c>
      <c r="E3" s="5" t="s">
        <v>3</v>
      </c>
      <c r="F3" s="4"/>
      <c r="G3" s="4"/>
      <c r="H3" s="4"/>
      <c r="I3" s="4"/>
      <c r="J3" s="4"/>
      <c r="K3" s="4"/>
      <c r="L3" s="4"/>
      <c r="M3" s="4"/>
      <c r="N3" s="4"/>
      <c r="O3" s="4"/>
      <c r="P3" s="4"/>
      <c r="Q3" s="4"/>
      <c r="R3" s="4"/>
      <c r="S3" s="4"/>
      <c r="T3" s="4"/>
      <c r="U3" s="4"/>
      <c r="V3" s="4"/>
      <c r="W3" s="4"/>
      <c r="X3" s="4"/>
      <c r="Y3" s="4"/>
      <c r="Z3" s="4"/>
      <c r="AA3" s="4"/>
      <c r="AB3" s="4"/>
      <c r="AC3" s="4"/>
      <c r="AD3" s="4"/>
      <c r="AE3" s="3"/>
      <c r="AF3" s="4"/>
    </row>
    <row r="4" spans="1:31" ht="12.75">
      <c r="A4" s="6" t="s">
        <v>4</v>
      </c>
      <c r="B4" s="7" t="s">
        <v>5</v>
      </c>
      <c r="C4" s="7" t="s">
        <v>6</v>
      </c>
      <c r="D4" s="8">
        <f>VLOOKUP(A4,'ACCESS alloactions'!$A$2:$B$62,2,FALSE)+22147</f>
        <v>1047089.8467038213</v>
      </c>
      <c r="E4" s="9">
        <f>D4-SUM(F4:AD4)</f>
        <v>-0.1532961786724627</v>
      </c>
      <c r="F4" s="11">
        <v>0</v>
      </c>
      <c r="G4" s="11">
        <v>0</v>
      </c>
      <c r="H4" s="11">
        <v>0</v>
      </c>
      <c r="I4" s="11">
        <v>0</v>
      </c>
      <c r="J4" s="11">
        <v>90152</v>
      </c>
      <c r="K4" s="11">
        <v>103555</v>
      </c>
      <c r="L4" s="11">
        <v>103555</v>
      </c>
      <c r="M4" s="11">
        <v>103555</v>
      </c>
      <c r="N4" s="11">
        <v>103555</v>
      </c>
      <c r="O4" s="11">
        <v>103555</v>
      </c>
      <c r="P4" s="11">
        <v>103555</v>
      </c>
      <c r="Q4" s="11">
        <v>103558</v>
      </c>
      <c r="R4" s="11">
        <v>0</v>
      </c>
      <c r="S4" s="11">
        <v>0</v>
      </c>
      <c r="T4" s="11">
        <v>193158</v>
      </c>
      <c r="U4" s="11">
        <v>38892</v>
      </c>
      <c r="V4" s="11">
        <v>0</v>
      </c>
      <c r="W4" s="11">
        <v>0</v>
      </c>
      <c r="X4" s="11">
        <v>0</v>
      </c>
      <c r="Y4" s="11">
        <v>0</v>
      </c>
      <c r="Z4" s="11">
        <v>0</v>
      </c>
      <c r="AA4" s="11">
        <v>0</v>
      </c>
      <c r="AB4" s="11">
        <v>0</v>
      </c>
      <c r="AC4" s="11">
        <v>0</v>
      </c>
      <c r="AD4" s="11">
        <v>0</v>
      </c>
      <c r="AE4" s="12">
        <f>SUM(F4:AD4)</f>
        <v>1047090</v>
      </c>
    </row>
    <row r="5" spans="1:31" ht="12.75">
      <c r="A5" s="6" t="s">
        <v>7</v>
      </c>
      <c r="B5" s="7" t="s">
        <v>8</v>
      </c>
      <c r="C5" s="7" t="s">
        <v>6</v>
      </c>
      <c r="D5" s="8">
        <f>VLOOKUP(A5,'ACCESS alloactions'!$A$2:$B$62,2,FALSE)+148524</f>
        <v>6583591.764893601</v>
      </c>
      <c r="E5" s="9">
        <f aca="true" t="shared" si="0" ref="E5:E63">D5-SUM(F5:AD5)</f>
        <v>-0.23510639928281307</v>
      </c>
      <c r="F5" s="11">
        <v>0</v>
      </c>
      <c r="G5" s="11">
        <v>0</v>
      </c>
      <c r="H5" s="11">
        <v>0</v>
      </c>
      <c r="I5" s="11">
        <v>0</v>
      </c>
      <c r="J5" s="11">
        <v>0</v>
      </c>
      <c r="K5" s="11">
        <v>0</v>
      </c>
      <c r="L5" s="11">
        <v>2299812</v>
      </c>
      <c r="M5" s="11">
        <v>457115</v>
      </c>
      <c r="N5" s="11">
        <v>457115</v>
      </c>
      <c r="O5" s="11">
        <v>299245</v>
      </c>
      <c r="P5" s="11">
        <v>441328</v>
      </c>
      <c r="Q5" s="11">
        <v>441330</v>
      </c>
      <c r="R5" s="11">
        <v>0</v>
      </c>
      <c r="S5" s="11">
        <v>0</v>
      </c>
      <c r="T5" s="11">
        <v>0</v>
      </c>
      <c r="U5" s="11">
        <v>456544</v>
      </c>
      <c r="V5" s="11">
        <v>525281</v>
      </c>
      <c r="W5" s="11">
        <v>0</v>
      </c>
      <c r="X5" s="11">
        <v>0</v>
      </c>
      <c r="Y5" s="11">
        <v>1205822</v>
      </c>
      <c r="Z5" s="11">
        <v>0</v>
      </c>
      <c r="AA5" s="11">
        <v>0</v>
      </c>
      <c r="AB5" s="11">
        <v>0</v>
      </c>
      <c r="AC5" s="11">
        <v>0</v>
      </c>
      <c r="AD5" s="11">
        <v>0</v>
      </c>
      <c r="AE5" s="12">
        <f aca="true" t="shared" si="1" ref="AE5:AE63">SUM(F5:AD5)</f>
        <v>6583592</v>
      </c>
    </row>
    <row r="6" spans="1:31" ht="12.75">
      <c r="A6" s="6" t="s">
        <v>9</v>
      </c>
      <c r="B6" s="7" t="s">
        <v>10</v>
      </c>
      <c r="C6" s="7" t="s">
        <v>6</v>
      </c>
      <c r="D6" s="8">
        <f>VLOOKUP(A6,'ACCESS alloactions'!$A$2:$B$62,2,FALSE)+29538</f>
        <v>1404505.098233656</v>
      </c>
      <c r="E6" s="9">
        <f t="shared" si="0"/>
        <v>0.09823365602642298</v>
      </c>
      <c r="F6" s="11">
        <v>0</v>
      </c>
      <c r="G6" s="11">
        <v>130603</v>
      </c>
      <c r="H6" s="11">
        <v>85403</v>
      </c>
      <c r="I6" s="11">
        <v>45255</v>
      </c>
      <c r="J6" s="11">
        <v>45255</v>
      </c>
      <c r="K6" s="11">
        <v>411550</v>
      </c>
      <c r="L6" s="11">
        <v>149396</v>
      </c>
      <c r="M6" s="11">
        <v>83628</v>
      </c>
      <c r="N6" s="11">
        <v>174566</v>
      </c>
      <c r="O6" s="11">
        <v>65940</v>
      </c>
      <c r="P6" s="11">
        <v>46334</v>
      </c>
      <c r="Q6" s="11">
        <v>61913</v>
      </c>
      <c r="R6" s="11">
        <v>0</v>
      </c>
      <c r="S6" s="11">
        <v>0</v>
      </c>
      <c r="T6" s="11">
        <v>86216</v>
      </c>
      <c r="U6" s="11">
        <v>18446</v>
      </c>
      <c r="V6" s="11">
        <v>0</v>
      </c>
      <c r="W6" s="11">
        <v>0</v>
      </c>
      <c r="X6" s="11">
        <v>0</v>
      </c>
      <c r="Y6" s="11">
        <v>0</v>
      </c>
      <c r="Z6" s="11">
        <v>0</v>
      </c>
      <c r="AA6" s="11">
        <v>0</v>
      </c>
      <c r="AB6" s="11">
        <v>0</v>
      </c>
      <c r="AC6" s="11">
        <v>0</v>
      </c>
      <c r="AD6" s="11">
        <v>0</v>
      </c>
      <c r="AE6" s="12">
        <f t="shared" si="1"/>
        <v>1404505</v>
      </c>
    </row>
    <row r="7" spans="1:31" ht="12.75">
      <c r="A7" s="6" t="s">
        <v>11</v>
      </c>
      <c r="B7" s="7" t="s">
        <v>12</v>
      </c>
      <c r="C7" s="7" t="s">
        <v>6</v>
      </c>
      <c r="D7" s="8">
        <f>VLOOKUP(A7,'ACCESS alloactions'!$A$2:$B$62,2,FALSE)+50022</f>
        <v>1932894.9781478993</v>
      </c>
      <c r="E7" s="9">
        <f t="shared" si="0"/>
        <v>-0.021852100733667612</v>
      </c>
      <c r="F7" s="11">
        <v>0</v>
      </c>
      <c r="G7" s="11">
        <v>0</v>
      </c>
      <c r="H7" s="11">
        <v>0</v>
      </c>
      <c r="I7" s="11">
        <v>0</v>
      </c>
      <c r="J7" s="11">
        <v>0</v>
      </c>
      <c r="K7" s="11">
        <v>0</v>
      </c>
      <c r="L7" s="11">
        <v>760179</v>
      </c>
      <c r="M7" s="11">
        <v>204094</v>
      </c>
      <c r="N7" s="11">
        <v>168275</v>
      </c>
      <c r="O7" s="11">
        <v>168275</v>
      </c>
      <c r="P7" s="11">
        <v>168275</v>
      </c>
      <c r="Q7" s="11">
        <v>168280</v>
      </c>
      <c r="R7" s="11">
        <v>0</v>
      </c>
      <c r="S7" s="11">
        <v>0</v>
      </c>
      <c r="T7" s="11">
        <v>69967</v>
      </c>
      <c r="U7" s="11">
        <v>208003</v>
      </c>
      <c r="V7" s="11">
        <v>17547</v>
      </c>
      <c r="W7" s="11">
        <v>0</v>
      </c>
      <c r="X7" s="11">
        <v>0</v>
      </c>
      <c r="Y7" s="11">
        <v>0</v>
      </c>
      <c r="Z7" s="11">
        <v>0</v>
      </c>
      <c r="AA7" s="11">
        <v>0</v>
      </c>
      <c r="AB7" s="11">
        <v>0</v>
      </c>
      <c r="AC7" s="11">
        <v>0</v>
      </c>
      <c r="AD7" s="11">
        <v>0</v>
      </c>
      <c r="AE7" s="12">
        <f t="shared" si="1"/>
        <v>1932895</v>
      </c>
    </row>
    <row r="8" spans="1:31" ht="12.75">
      <c r="A8" s="6" t="s">
        <v>13</v>
      </c>
      <c r="B8" s="7" t="s">
        <v>14</v>
      </c>
      <c r="C8" s="7" t="s">
        <v>6</v>
      </c>
      <c r="D8" s="8">
        <f>VLOOKUP(A8,'ACCESS alloactions'!$A$2:$B$62,2,FALSE)+39027+38332</f>
        <v>2004535.9521626406</v>
      </c>
      <c r="E8" s="9">
        <f t="shared" si="0"/>
        <v>-0.04783735936507583</v>
      </c>
      <c r="F8" s="11">
        <v>0</v>
      </c>
      <c r="G8" s="11">
        <v>0</v>
      </c>
      <c r="H8" s="11">
        <v>0</v>
      </c>
      <c r="I8" s="11">
        <v>0</v>
      </c>
      <c r="J8" s="11">
        <v>68032</v>
      </c>
      <c r="K8" s="11">
        <v>124179</v>
      </c>
      <c r="L8" s="11">
        <v>338861</v>
      </c>
      <c r="M8" s="11">
        <v>143486</v>
      </c>
      <c r="N8" s="11">
        <v>212939</v>
      </c>
      <c r="O8" s="11">
        <v>151203</v>
      </c>
      <c r="P8" s="11">
        <v>151203</v>
      </c>
      <c r="Q8" s="11">
        <v>151208</v>
      </c>
      <c r="R8" s="11">
        <v>0</v>
      </c>
      <c r="S8" s="11">
        <v>0</v>
      </c>
      <c r="T8" s="11">
        <v>104883</v>
      </c>
      <c r="U8" s="11">
        <v>202856</v>
      </c>
      <c r="V8" s="11">
        <v>207408</v>
      </c>
      <c r="W8" s="11">
        <v>109946</v>
      </c>
      <c r="X8" s="11">
        <v>38332</v>
      </c>
      <c r="Y8" s="11">
        <v>0</v>
      </c>
      <c r="Z8" s="11">
        <v>0</v>
      </c>
      <c r="AA8" s="11">
        <v>0</v>
      </c>
      <c r="AB8" s="11">
        <v>0</v>
      </c>
      <c r="AC8" s="11">
        <v>0</v>
      </c>
      <c r="AD8" s="11">
        <v>0</v>
      </c>
      <c r="AE8" s="12">
        <f t="shared" si="1"/>
        <v>2004536</v>
      </c>
    </row>
    <row r="9" spans="1:31" ht="12.75">
      <c r="A9" s="6" t="s">
        <v>15</v>
      </c>
      <c r="B9" s="7" t="s">
        <v>16</v>
      </c>
      <c r="C9" s="7" t="s">
        <v>17</v>
      </c>
      <c r="D9" s="8">
        <f>VLOOKUP(A9,'ACCESS alloactions'!$A$2:$B$62,2,FALSE)+12980</f>
        <v>761242.2091990301</v>
      </c>
      <c r="E9" s="9">
        <f t="shared" si="0"/>
        <v>0.209199030068703</v>
      </c>
      <c r="F9" s="11">
        <v>0</v>
      </c>
      <c r="G9" s="11">
        <v>0</v>
      </c>
      <c r="H9" s="11">
        <v>0</v>
      </c>
      <c r="I9" s="11">
        <v>0</v>
      </c>
      <c r="J9" s="11">
        <v>95273</v>
      </c>
      <c r="K9" s="11">
        <v>61757</v>
      </c>
      <c r="L9" s="11">
        <v>63606</v>
      </c>
      <c r="M9" s="11">
        <v>60092</v>
      </c>
      <c r="N9" s="11">
        <v>48779</v>
      </c>
      <c r="O9" s="11">
        <v>83165</v>
      </c>
      <c r="P9" s="11">
        <v>81437</v>
      </c>
      <c r="Q9" s="11">
        <v>49383</v>
      </c>
      <c r="R9" s="11">
        <v>0</v>
      </c>
      <c r="S9" s="11">
        <v>0</v>
      </c>
      <c r="T9" s="11">
        <v>0</v>
      </c>
      <c r="U9" s="11">
        <v>42506</v>
      </c>
      <c r="V9" s="11">
        <v>86138</v>
      </c>
      <c r="W9" s="11">
        <v>59014</v>
      </c>
      <c r="X9" s="11">
        <v>30092</v>
      </c>
      <c r="Y9" s="11">
        <v>0</v>
      </c>
      <c r="Z9" s="11">
        <v>0</v>
      </c>
      <c r="AA9" s="11">
        <v>0</v>
      </c>
      <c r="AB9" s="11">
        <v>0</v>
      </c>
      <c r="AC9" s="11">
        <v>0</v>
      </c>
      <c r="AD9" s="11">
        <v>0</v>
      </c>
      <c r="AE9" s="12">
        <f t="shared" si="1"/>
        <v>761242</v>
      </c>
    </row>
    <row r="10" spans="1:31" ht="12.75">
      <c r="A10" s="6" t="s">
        <v>18</v>
      </c>
      <c r="B10" s="7" t="s">
        <v>19</v>
      </c>
      <c r="C10" s="7" t="s">
        <v>17</v>
      </c>
      <c r="D10" s="8">
        <f>VLOOKUP(A10,'ACCESS alloactions'!$A$2:$B$62,2,FALSE)+6226</f>
        <v>351715.470777962</v>
      </c>
      <c r="E10" s="9">
        <f t="shared" si="0"/>
        <v>0.47077796200755984</v>
      </c>
      <c r="F10" s="11">
        <v>0</v>
      </c>
      <c r="G10" s="11">
        <v>0</v>
      </c>
      <c r="H10" s="11">
        <v>0</v>
      </c>
      <c r="I10" s="11">
        <v>0</v>
      </c>
      <c r="J10" s="11">
        <v>0</v>
      </c>
      <c r="K10" s="11">
        <v>0</v>
      </c>
      <c r="L10" s="11">
        <v>79550</v>
      </c>
      <c r="M10" s="11">
        <v>32557</v>
      </c>
      <c r="N10" s="11">
        <v>33201</v>
      </c>
      <c r="O10" s="11">
        <v>33201</v>
      </c>
      <c r="P10" s="11">
        <v>33201</v>
      </c>
      <c r="Q10" s="11">
        <v>33197</v>
      </c>
      <c r="R10" s="11">
        <v>0</v>
      </c>
      <c r="S10" s="11">
        <v>0</v>
      </c>
      <c r="T10" s="11">
        <v>22220</v>
      </c>
      <c r="U10" s="11">
        <v>33575</v>
      </c>
      <c r="V10" s="11">
        <v>25466</v>
      </c>
      <c r="W10" s="11">
        <v>25466</v>
      </c>
      <c r="X10" s="11">
        <v>81</v>
      </c>
      <c r="Y10" s="11">
        <v>0</v>
      </c>
      <c r="Z10" s="11">
        <v>0</v>
      </c>
      <c r="AA10" s="11">
        <v>0</v>
      </c>
      <c r="AB10" s="11">
        <v>0</v>
      </c>
      <c r="AC10" s="11">
        <v>0</v>
      </c>
      <c r="AD10" s="11">
        <v>0</v>
      </c>
      <c r="AE10" s="12">
        <f t="shared" si="1"/>
        <v>351715</v>
      </c>
    </row>
    <row r="11" spans="1:31" ht="12.75">
      <c r="A11" s="6" t="s">
        <v>20</v>
      </c>
      <c r="B11" s="7" t="s">
        <v>21</v>
      </c>
      <c r="C11" s="7" t="s">
        <v>17</v>
      </c>
      <c r="D11" s="8">
        <f>VLOOKUP(A11,'ACCESS alloactions'!$A$2:$B$62,2,FALSE)+181286</f>
        <v>8512721.45771077</v>
      </c>
      <c r="E11" s="9">
        <f t="shared" si="0"/>
        <v>0.4577107708901167</v>
      </c>
      <c r="F11" s="11">
        <v>0</v>
      </c>
      <c r="G11" s="11">
        <v>0</v>
      </c>
      <c r="H11" s="11">
        <v>0</v>
      </c>
      <c r="I11" s="11">
        <v>0</v>
      </c>
      <c r="J11" s="11">
        <v>0</v>
      </c>
      <c r="K11" s="11">
        <v>0</v>
      </c>
      <c r="L11" s="11">
        <v>3352760</v>
      </c>
      <c r="M11" s="11">
        <v>568486</v>
      </c>
      <c r="N11" s="11">
        <v>568486</v>
      </c>
      <c r="O11" s="11">
        <v>246806</v>
      </c>
      <c r="P11" s="11">
        <v>536318</v>
      </c>
      <c r="Q11" s="11">
        <v>536316</v>
      </c>
      <c r="R11" s="11">
        <v>0</v>
      </c>
      <c r="S11" s="11">
        <v>0</v>
      </c>
      <c r="T11" s="11">
        <v>0</v>
      </c>
      <c r="U11" s="11">
        <v>0</v>
      </c>
      <c r="V11" s="25">
        <v>38864</v>
      </c>
      <c r="W11" s="11">
        <v>598303</v>
      </c>
      <c r="X11" s="11">
        <v>598303</v>
      </c>
      <c r="Y11" s="11">
        <v>674711</v>
      </c>
      <c r="Z11" s="11">
        <v>233929</v>
      </c>
      <c r="AA11" s="11">
        <v>0</v>
      </c>
      <c r="AB11" s="11">
        <v>559439</v>
      </c>
      <c r="AC11" s="11">
        <v>0</v>
      </c>
      <c r="AD11" s="11">
        <v>0</v>
      </c>
      <c r="AE11" s="12">
        <f t="shared" si="1"/>
        <v>8512721</v>
      </c>
    </row>
    <row r="12" spans="1:31" ht="12.75">
      <c r="A12" s="6" t="s">
        <v>22</v>
      </c>
      <c r="B12" s="7" t="s">
        <v>23</v>
      </c>
      <c r="C12" s="7" t="s">
        <v>17</v>
      </c>
      <c r="D12" s="8">
        <f>VLOOKUP(A12,'ACCESS alloactions'!$A$2:$B$62,2,FALSE)+53396</f>
        <v>2628800.465036456</v>
      </c>
      <c r="E12" s="9">
        <f t="shared" si="0"/>
        <v>0.4650364560075104</v>
      </c>
      <c r="F12" s="11">
        <v>0</v>
      </c>
      <c r="G12" s="11">
        <v>0</v>
      </c>
      <c r="H12" s="11">
        <v>0</v>
      </c>
      <c r="I12" s="11">
        <v>0</v>
      </c>
      <c r="J12" s="11">
        <v>0</v>
      </c>
      <c r="K12" s="11">
        <v>0</v>
      </c>
      <c r="L12" s="11">
        <v>0</v>
      </c>
      <c r="M12" s="11">
        <v>19633</v>
      </c>
      <c r="N12" s="11">
        <v>432618</v>
      </c>
      <c r="O12" s="11">
        <v>181067</v>
      </c>
      <c r="P12" s="11">
        <v>181067</v>
      </c>
      <c r="Q12" s="11">
        <v>181067</v>
      </c>
      <c r="R12" s="11">
        <v>0</v>
      </c>
      <c r="S12" s="11">
        <v>0</v>
      </c>
      <c r="T12" s="11">
        <v>0</v>
      </c>
      <c r="U12" s="11">
        <f>285400+187204</f>
        <v>472604</v>
      </c>
      <c r="V12" s="11">
        <v>186958</v>
      </c>
      <c r="W12" s="11">
        <v>311597</v>
      </c>
      <c r="X12" s="11">
        <v>186958</v>
      </c>
      <c r="Y12" s="11">
        <v>466669</v>
      </c>
      <c r="Z12" s="11">
        <v>8562</v>
      </c>
      <c r="AA12" s="11">
        <v>0</v>
      </c>
      <c r="AB12" s="11">
        <v>0</v>
      </c>
      <c r="AC12" s="11">
        <v>0</v>
      </c>
      <c r="AD12" s="11">
        <v>0</v>
      </c>
      <c r="AE12" s="12">
        <f t="shared" si="1"/>
        <v>2628800</v>
      </c>
    </row>
    <row r="13" spans="1:31" ht="12.75">
      <c r="A13" s="6" t="s">
        <v>24</v>
      </c>
      <c r="B13" s="7" t="s">
        <v>25</v>
      </c>
      <c r="C13" s="7" t="s">
        <v>17</v>
      </c>
      <c r="D13" s="8">
        <f>VLOOKUP(A13,'ACCESS alloactions'!$A$2:$B$62,2,FALSE)+144288</f>
        <v>6708905.235373838</v>
      </c>
      <c r="E13" s="9">
        <f t="shared" si="0"/>
        <v>0.23537383787333965</v>
      </c>
      <c r="F13" s="11">
        <v>0</v>
      </c>
      <c r="G13" s="11">
        <v>0</v>
      </c>
      <c r="H13" s="11">
        <v>0</v>
      </c>
      <c r="I13" s="11">
        <v>0</v>
      </c>
      <c r="J13" s="11">
        <v>0</v>
      </c>
      <c r="K13" s="11">
        <v>0</v>
      </c>
      <c r="L13" s="11">
        <v>0</v>
      </c>
      <c r="M13" s="11">
        <v>0</v>
      </c>
      <c r="N13" s="11">
        <v>0</v>
      </c>
      <c r="O13" s="11">
        <v>0</v>
      </c>
      <c r="P13" s="11">
        <v>87436</v>
      </c>
      <c r="Q13" s="11">
        <v>186134</v>
      </c>
      <c r="R13" s="11">
        <v>0</v>
      </c>
      <c r="S13" s="11">
        <v>0</v>
      </c>
      <c r="T13" s="11">
        <v>0</v>
      </c>
      <c r="U13" s="11">
        <v>0</v>
      </c>
      <c r="V13" s="11">
        <v>494066</v>
      </c>
      <c r="W13" s="11">
        <v>494066</v>
      </c>
      <c r="X13" s="11">
        <v>494066</v>
      </c>
      <c r="Y13" s="11">
        <v>1552183</v>
      </c>
      <c r="Z13" s="11">
        <v>626330</v>
      </c>
      <c r="AA13" s="11">
        <v>626330</v>
      </c>
      <c r="AB13" s="11">
        <f>308831+1839463</f>
        <v>2148294</v>
      </c>
      <c r="AC13" s="11">
        <v>0</v>
      </c>
      <c r="AD13" s="11">
        <v>0</v>
      </c>
      <c r="AE13" s="12">
        <f t="shared" si="1"/>
        <v>6708905</v>
      </c>
    </row>
    <row r="14" spans="1:31" ht="12.75">
      <c r="A14" s="6" t="s">
        <v>26</v>
      </c>
      <c r="B14" s="7" t="s">
        <v>27</v>
      </c>
      <c r="C14" s="7" t="s">
        <v>28</v>
      </c>
      <c r="D14" s="8">
        <f>VLOOKUP(A14,'ACCESS alloactions'!$A$2:$B$62,2,FALSE)+94892</f>
        <v>3990465.2885668883</v>
      </c>
      <c r="E14" s="9">
        <f t="shared" si="0"/>
        <v>0.2885668883100152</v>
      </c>
      <c r="F14" s="11">
        <v>0</v>
      </c>
      <c r="G14" s="11">
        <v>0</v>
      </c>
      <c r="H14" s="11">
        <v>0</v>
      </c>
      <c r="I14" s="11">
        <v>0</v>
      </c>
      <c r="J14" s="11">
        <v>0</v>
      </c>
      <c r="K14" s="11">
        <v>0</v>
      </c>
      <c r="L14" s="11">
        <v>0</v>
      </c>
      <c r="M14" s="11">
        <v>957021</v>
      </c>
      <c r="N14" s="11">
        <v>259992</v>
      </c>
      <c r="O14" s="11">
        <v>259992</v>
      </c>
      <c r="P14" s="11">
        <v>259992</v>
      </c>
      <c r="Q14" s="11">
        <v>259996</v>
      </c>
      <c r="R14" s="11">
        <v>0</v>
      </c>
      <c r="S14" s="11">
        <v>0</v>
      </c>
      <c r="T14" s="11">
        <v>0</v>
      </c>
      <c r="U14" s="11">
        <f>298754+427426</f>
        <v>726180</v>
      </c>
      <c r="V14" s="11">
        <v>278905</v>
      </c>
      <c r="W14" s="11">
        <v>278905</v>
      </c>
      <c r="X14" s="11">
        <v>278905</v>
      </c>
      <c r="Y14" s="11">
        <v>278905</v>
      </c>
      <c r="Z14" s="11">
        <v>151672</v>
      </c>
      <c r="AA14" s="11">
        <v>0</v>
      </c>
      <c r="AB14" s="11">
        <v>0</v>
      </c>
      <c r="AC14" s="11">
        <v>0</v>
      </c>
      <c r="AD14" s="11">
        <v>0</v>
      </c>
      <c r="AE14" s="12">
        <f t="shared" si="1"/>
        <v>3990465</v>
      </c>
    </row>
    <row r="15" spans="1:31" ht="12.75">
      <c r="A15" s="6" t="s">
        <v>29</v>
      </c>
      <c r="B15" s="7" t="s">
        <v>30</v>
      </c>
      <c r="C15" s="7" t="s">
        <v>28</v>
      </c>
      <c r="D15" s="8">
        <f>VLOOKUP(A15,'ACCESS alloactions'!$A$2:$B$62,2,FALSE)+101111</f>
        <v>5135363.895542215</v>
      </c>
      <c r="E15" s="9">
        <f t="shared" si="0"/>
        <v>-0.10445778537541628</v>
      </c>
      <c r="F15" s="11">
        <v>0</v>
      </c>
      <c r="G15" s="11">
        <v>0</v>
      </c>
      <c r="H15" s="11">
        <v>653479</v>
      </c>
      <c r="I15" s="11">
        <v>368404</v>
      </c>
      <c r="J15" s="11">
        <v>90035</v>
      </c>
      <c r="K15" s="11">
        <v>292013</v>
      </c>
      <c r="L15" s="11">
        <v>556281</v>
      </c>
      <c r="M15" s="11">
        <v>292013</v>
      </c>
      <c r="N15" s="11">
        <v>292013</v>
      </c>
      <c r="O15" s="11">
        <v>388015</v>
      </c>
      <c r="P15" s="11">
        <v>530577</v>
      </c>
      <c r="Q15" s="11">
        <v>0</v>
      </c>
      <c r="R15" s="11">
        <v>0</v>
      </c>
      <c r="S15" s="11">
        <v>0</v>
      </c>
      <c r="T15" s="11">
        <v>31093</v>
      </c>
      <c r="U15" s="11">
        <v>584911</v>
      </c>
      <c r="V15" s="11">
        <v>400799</v>
      </c>
      <c r="W15" s="11">
        <v>400799</v>
      </c>
      <c r="X15" s="11">
        <v>254932</v>
      </c>
      <c r="Y15" s="11">
        <v>0</v>
      </c>
      <c r="Z15" s="11">
        <v>0</v>
      </c>
      <c r="AA15" s="11">
        <v>0</v>
      </c>
      <c r="AB15" s="11">
        <v>0</v>
      </c>
      <c r="AC15" s="11">
        <v>0</v>
      </c>
      <c r="AD15" s="11">
        <v>0</v>
      </c>
      <c r="AE15" s="12">
        <f t="shared" si="1"/>
        <v>5135364</v>
      </c>
    </row>
    <row r="16" spans="1:31" ht="12.75">
      <c r="A16" s="6" t="s">
        <v>31</v>
      </c>
      <c r="B16" s="7" t="s">
        <v>32</v>
      </c>
      <c r="C16" s="7" t="s">
        <v>33</v>
      </c>
      <c r="D16" s="8">
        <f>VLOOKUP(A16,'ACCESS alloactions'!$A$2:$B$62,2,FALSE)+18536</f>
        <v>931652.271999928</v>
      </c>
      <c r="E16" s="9">
        <f t="shared" si="0"/>
        <v>0.27199992805253714</v>
      </c>
      <c r="F16" s="11">
        <v>0</v>
      </c>
      <c r="G16" s="11">
        <v>0</v>
      </c>
      <c r="H16" s="11">
        <v>0</v>
      </c>
      <c r="I16" s="11">
        <v>0</v>
      </c>
      <c r="J16" s="11">
        <v>43765</v>
      </c>
      <c r="K16" s="11">
        <v>61227</v>
      </c>
      <c r="L16" s="11">
        <v>61227</v>
      </c>
      <c r="M16" s="11">
        <v>61227</v>
      </c>
      <c r="N16" s="11">
        <v>61227</v>
      </c>
      <c r="O16" s="11">
        <v>61227</v>
      </c>
      <c r="P16" s="11">
        <v>61227</v>
      </c>
      <c r="Q16" s="11">
        <v>61227</v>
      </c>
      <c r="R16" s="11">
        <v>0</v>
      </c>
      <c r="S16" s="11">
        <v>0</v>
      </c>
      <c r="T16" s="11">
        <v>154813</v>
      </c>
      <c r="U16" s="11">
        <v>62887</v>
      </c>
      <c r="V16" s="11">
        <v>62887</v>
      </c>
      <c r="W16" s="11">
        <v>62887</v>
      </c>
      <c r="X16" s="11">
        <v>62887</v>
      </c>
      <c r="Y16" s="11">
        <v>52937</v>
      </c>
      <c r="Z16" s="11">
        <v>0</v>
      </c>
      <c r="AA16" s="11">
        <v>0</v>
      </c>
      <c r="AB16" s="11">
        <v>0</v>
      </c>
      <c r="AC16" s="11">
        <v>0</v>
      </c>
      <c r="AD16" s="11">
        <v>0</v>
      </c>
      <c r="AE16" s="12">
        <f t="shared" si="1"/>
        <v>931652</v>
      </c>
    </row>
    <row r="17" spans="1:31" ht="12.75">
      <c r="A17" s="6" t="s">
        <v>34</v>
      </c>
      <c r="B17" s="7" t="s">
        <v>35</v>
      </c>
      <c r="C17" s="7" t="s">
        <v>36</v>
      </c>
      <c r="D17" s="8">
        <f>VLOOKUP(A17,'ACCESS alloactions'!$A$2:$B$62,2,FALSE)+325877</f>
        <v>15241121.291658487</v>
      </c>
      <c r="E17" s="9">
        <f t="shared" si="0"/>
        <v>0.2916584871709347</v>
      </c>
      <c r="F17" s="11">
        <v>0</v>
      </c>
      <c r="G17" s="11">
        <v>0</v>
      </c>
      <c r="H17" s="11">
        <v>0</v>
      </c>
      <c r="I17" s="11">
        <v>0</v>
      </c>
      <c r="J17" s="11">
        <v>0</v>
      </c>
      <c r="K17" s="11">
        <v>1038747</v>
      </c>
      <c r="L17" s="11">
        <v>1044380</v>
      </c>
      <c r="M17" s="11">
        <v>1052630</v>
      </c>
      <c r="N17" s="11">
        <v>1052630</v>
      </c>
      <c r="O17" s="11">
        <v>1052630</v>
      </c>
      <c r="P17" s="11">
        <v>1143381</v>
      </c>
      <c r="Q17" s="11">
        <v>1060880</v>
      </c>
      <c r="R17" s="11">
        <v>0</v>
      </c>
      <c r="S17" s="11">
        <v>0</v>
      </c>
      <c r="T17" s="11">
        <v>0</v>
      </c>
      <c r="U17" s="11">
        <v>-346632</v>
      </c>
      <c r="V17" s="11">
        <v>1144945</v>
      </c>
      <c r="W17" s="11">
        <v>1144945</v>
      </c>
      <c r="X17" s="11">
        <v>1144945</v>
      </c>
      <c r="Y17" s="11">
        <v>1557433</v>
      </c>
      <c r="Z17" s="11">
        <v>1196506</v>
      </c>
      <c r="AA17" s="11">
        <v>1196506</v>
      </c>
      <c r="AB17" s="11">
        <v>757195</v>
      </c>
      <c r="AC17" s="11">
        <v>0</v>
      </c>
      <c r="AD17" s="11">
        <v>0</v>
      </c>
      <c r="AE17" s="12">
        <f t="shared" si="1"/>
        <v>15241121</v>
      </c>
    </row>
    <row r="18" spans="1:31" ht="12.75">
      <c r="A18" s="6" t="s">
        <v>37</v>
      </c>
      <c r="B18" s="7" t="s">
        <v>38</v>
      </c>
      <c r="C18" s="7" t="s">
        <v>39</v>
      </c>
      <c r="D18" s="8">
        <f>VLOOKUP(A18,'ACCESS alloactions'!$A$2:$B$62,2,FALSE)+189503</f>
        <v>7800427.07400178</v>
      </c>
      <c r="E18" s="9">
        <f t="shared" si="0"/>
        <v>0.07400177977979183</v>
      </c>
      <c r="F18" s="11">
        <v>0</v>
      </c>
      <c r="G18" s="11">
        <v>0</v>
      </c>
      <c r="H18" s="11">
        <v>0</v>
      </c>
      <c r="I18" s="11">
        <v>0</v>
      </c>
      <c r="J18" s="11">
        <v>1111100</v>
      </c>
      <c r="K18" s="11">
        <v>522559</v>
      </c>
      <c r="L18" s="11">
        <v>522559</v>
      </c>
      <c r="M18" s="11">
        <v>522559</v>
      </c>
      <c r="N18" s="11">
        <v>522559</v>
      </c>
      <c r="O18" s="11">
        <v>0</v>
      </c>
      <c r="P18" s="11">
        <v>0</v>
      </c>
      <c r="Q18" s="11">
        <v>0</v>
      </c>
      <c r="R18" s="11">
        <v>0</v>
      </c>
      <c r="S18" s="11">
        <v>0</v>
      </c>
      <c r="T18" s="11">
        <v>1570170</v>
      </c>
      <c r="U18" s="11">
        <v>493878</v>
      </c>
      <c r="V18" s="11">
        <v>488865</v>
      </c>
      <c r="W18" s="11">
        <v>488865</v>
      </c>
      <c r="X18" s="11">
        <v>488865</v>
      </c>
      <c r="Y18" s="11">
        <v>873129</v>
      </c>
      <c r="Z18" s="11">
        <v>195319</v>
      </c>
      <c r="AA18" s="11">
        <v>0</v>
      </c>
      <c r="AB18" s="11">
        <v>0</v>
      </c>
      <c r="AC18" s="11">
        <v>0</v>
      </c>
      <c r="AD18" s="11">
        <v>0</v>
      </c>
      <c r="AE18" s="12">
        <f t="shared" si="1"/>
        <v>7800427</v>
      </c>
    </row>
    <row r="19" spans="1:31" ht="12.75">
      <c r="A19" s="6" t="s">
        <v>40</v>
      </c>
      <c r="B19" s="7" t="s">
        <v>41</v>
      </c>
      <c r="C19" s="7" t="s">
        <v>42</v>
      </c>
      <c r="D19" s="8">
        <f>VLOOKUP(A19,'ACCESS alloactions'!$A$2:$B$62,2,FALSE)+43802</f>
        <v>2129868.546408328</v>
      </c>
      <c r="E19" s="9">
        <f t="shared" si="0"/>
        <v>-0.4535916717723012</v>
      </c>
      <c r="F19" s="11">
        <v>0</v>
      </c>
      <c r="G19" s="11">
        <v>0</v>
      </c>
      <c r="H19" s="11">
        <v>0</v>
      </c>
      <c r="I19" s="11">
        <v>0</v>
      </c>
      <c r="J19" s="11">
        <v>0</v>
      </c>
      <c r="K19" s="11">
        <v>0</v>
      </c>
      <c r="L19" s="11">
        <v>671451</v>
      </c>
      <c r="M19" s="11">
        <v>165480</v>
      </c>
      <c r="N19" s="11">
        <v>200960</v>
      </c>
      <c r="O19" s="11">
        <v>169422</v>
      </c>
      <c r="P19" s="11">
        <v>169422</v>
      </c>
      <c r="Q19" s="11">
        <v>169424</v>
      </c>
      <c r="R19" s="11">
        <v>0</v>
      </c>
      <c r="S19" s="11">
        <v>0</v>
      </c>
      <c r="T19" s="11">
        <v>310001</v>
      </c>
      <c r="U19" s="11">
        <v>114753</v>
      </c>
      <c r="V19" s="11">
        <v>141286</v>
      </c>
      <c r="W19" s="11">
        <v>17670</v>
      </c>
      <c r="X19" s="11">
        <v>0</v>
      </c>
      <c r="Y19" s="11">
        <v>0</v>
      </c>
      <c r="Z19" s="11">
        <v>0</v>
      </c>
      <c r="AA19" s="11">
        <v>0</v>
      </c>
      <c r="AB19" s="11">
        <v>0</v>
      </c>
      <c r="AC19" s="11">
        <v>0</v>
      </c>
      <c r="AD19" s="11">
        <v>0</v>
      </c>
      <c r="AE19" s="12">
        <f t="shared" si="1"/>
        <v>2129869</v>
      </c>
    </row>
    <row r="20" spans="1:31" ht="12.75">
      <c r="A20" s="6" t="s">
        <v>43</v>
      </c>
      <c r="B20" s="7" t="s">
        <v>44</v>
      </c>
      <c r="C20" s="7" t="s">
        <v>42</v>
      </c>
      <c r="D20" s="8">
        <f>VLOOKUP(A20,'ACCESS alloactions'!$A$2:$B$62,2,FALSE)+30970</f>
        <v>1611144.0662702285</v>
      </c>
      <c r="E20" s="9">
        <f t="shared" si="0"/>
        <v>0.06627022847533226</v>
      </c>
      <c r="F20" s="11">
        <v>0</v>
      </c>
      <c r="G20" s="11">
        <v>0</v>
      </c>
      <c r="H20" s="11">
        <v>0</v>
      </c>
      <c r="I20" s="11">
        <v>0</v>
      </c>
      <c r="J20" s="11">
        <v>0</v>
      </c>
      <c r="K20" s="11">
        <v>0</v>
      </c>
      <c r="L20" s="11">
        <v>555128</v>
      </c>
      <c r="M20" s="11">
        <v>115045</v>
      </c>
      <c r="N20" s="11">
        <v>166606</v>
      </c>
      <c r="O20" s="11">
        <v>127153</v>
      </c>
      <c r="P20" s="11">
        <v>120774</v>
      </c>
      <c r="Q20" s="11">
        <v>120778</v>
      </c>
      <c r="R20" s="11">
        <v>0</v>
      </c>
      <c r="S20" s="11">
        <v>0</v>
      </c>
      <c r="T20" s="11">
        <v>0</v>
      </c>
      <c r="U20" s="11">
        <v>144802</v>
      </c>
      <c r="V20" s="11">
        <v>151647</v>
      </c>
      <c r="W20" s="11">
        <v>109211</v>
      </c>
      <c r="X20" s="11">
        <v>0</v>
      </c>
      <c r="Y20" s="11">
        <v>0</v>
      </c>
      <c r="Z20" s="11">
        <v>0</v>
      </c>
      <c r="AA20" s="11">
        <v>0</v>
      </c>
      <c r="AB20" s="11">
        <v>0</v>
      </c>
      <c r="AC20" s="11">
        <v>0</v>
      </c>
      <c r="AD20" s="11">
        <v>0</v>
      </c>
      <c r="AE20" s="12">
        <f t="shared" si="1"/>
        <v>1611144</v>
      </c>
    </row>
    <row r="21" spans="1:31" ht="12.75">
      <c r="A21" s="6" t="s">
        <v>45</v>
      </c>
      <c r="B21" s="7" t="s">
        <v>46</v>
      </c>
      <c r="C21" s="7" t="s">
        <v>42</v>
      </c>
      <c r="D21" s="8">
        <f>VLOOKUP(A21,'ACCESS alloactions'!$A$2:$B$62,2,FALSE)+24999</f>
        <v>1144126.180798083</v>
      </c>
      <c r="E21" s="9">
        <f t="shared" si="0"/>
        <v>0.18079808307811618</v>
      </c>
      <c r="F21" s="11">
        <v>0</v>
      </c>
      <c r="G21" s="11">
        <v>0</v>
      </c>
      <c r="H21" s="11">
        <v>134593</v>
      </c>
      <c r="I21" s="11">
        <v>91803</v>
      </c>
      <c r="J21" s="11">
        <v>91803</v>
      </c>
      <c r="K21" s="11">
        <v>91803</v>
      </c>
      <c r="L21" s="11">
        <v>113818</v>
      </c>
      <c r="M21" s="11">
        <v>94948</v>
      </c>
      <c r="N21" s="11">
        <v>94948</v>
      </c>
      <c r="O21" s="11">
        <v>94948</v>
      </c>
      <c r="P21" s="11">
        <v>94948</v>
      </c>
      <c r="Q21" s="11">
        <v>94947</v>
      </c>
      <c r="R21" s="11">
        <v>0</v>
      </c>
      <c r="S21" s="11">
        <v>0</v>
      </c>
      <c r="T21" s="11">
        <v>11705</v>
      </c>
      <c r="U21" s="11">
        <v>93583</v>
      </c>
      <c r="V21" s="11">
        <v>40279</v>
      </c>
      <c r="W21" s="11">
        <v>0</v>
      </c>
      <c r="X21" s="11">
        <v>0</v>
      </c>
      <c r="Y21" s="11">
        <v>0</v>
      </c>
      <c r="Z21" s="11">
        <v>0</v>
      </c>
      <c r="AA21" s="11">
        <v>0</v>
      </c>
      <c r="AB21" s="11">
        <v>0</v>
      </c>
      <c r="AC21" s="11">
        <v>0</v>
      </c>
      <c r="AD21" s="11">
        <v>0</v>
      </c>
      <c r="AE21" s="12">
        <f t="shared" si="1"/>
        <v>1144126</v>
      </c>
    </row>
    <row r="22" spans="1:31" ht="12.75">
      <c r="A22" s="6" t="s">
        <v>47</v>
      </c>
      <c r="B22" s="7" t="s">
        <v>48</v>
      </c>
      <c r="C22" s="7" t="s">
        <v>42</v>
      </c>
      <c r="D22" s="8">
        <f>VLOOKUP(A22,'ACCESS alloactions'!$A$2:$B$62,2,FALSE)+117509</f>
        <v>5563523.9306921195</v>
      </c>
      <c r="E22" s="9">
        <f t="shared" si="0"/>
        <v>-0.06930788047611713</v>
      </c>
      <c r="F22" s="11">
        <v>0</v>
      </c>
      <c r="G22" s="11">
        <v>0</v>
      </c>
      <c r="H22" s="11">
        <v>0</v>
      </c>
      <c r="I22" s="11">
        <v>0</v>
      </c>
      <c r="J22" s="11">
        <v>824065</v>
      </c>
      <c r="K22" s="11">
        <v>347343</v>
      </c>
      <c r="L22" s="11">
        <v>347343</v>
      </c>
      <c r="M22" s="11">
        <v>222391</v>
      </c>
      <c r="N22" s="11">
        <v>426917</v>
      </c>
      <c r="O22" s="11">
        <v>331724</v>
      </c>
      <c r="P22" s="11">
        <v>429013</v>
      </c>
      <c r="Q22" s="11">
        <v>331721</v>
      </c>
      <c r="R22" s="11">
        <v>624399</v>
      </c>
      <c r="S22" s="11">
        <v>0</v>
      </c>
      <c r="T22" s="11">
        <v>606368</v>
      </c>
      <c r="U22" s="11">
        <v>489787</v>
      </c>
      <c r="V22" s="11">
        <v>464944</v>
      </c>
      <c r="W22" s="11">
        <v>0</v>
      </c>
      <c r="X22" s="11">
        <v>0</v>
      </c>
      <c r="Y22" s="11">
        <v>0</v>
      </c>
      <c r="Z22" s="11">
        <v>0</v>
      </c>
      <c r="AA22" s="11">
        <v>0</v>
      </c>
      <c r="AB22" s="11">
        <v>0</v>
      </c>
      <c r="AC22" s="11">
        <v>117509</v>
      </c>
      <c r="AD22" s="11">
        <v>0</v>
      </c>
      <c r="AE22" s="12">
        <f t="shared" si="1"/>
        <v>5563524</v>
      </c>
    </row>
    <row r="23" spans="1:31" ht="12.75">
      <c r="A23" s="6" t="s">
        <v>49</v>
      </c>
      <c r="B23" s="7" t="s">
        <v>50</v>
      </c>
      <c r="C23" s="7" t="s">
        <v>42</v>
      </c>
      <c r="D23" s="8">
        <f>VLOOKUP(A23,'ACCESS alloactions'!$A$2:$B$62,2,FALSE)+16058</f>
        <v>645274.6114713111</v>
      </c>
      <c r="E23" s="9">
        <f t="shared" si="0"/>
        <v>-0.38852868892718107</v>
      </c>
      <c r="F23" s="11">
        <v>0</v>
      </c>
      <c r="G23" s="11">
        <v>0</v>
      </c>
      <c r="H23" s="11">
        <v>0</v>
      </c>
      <c r="I23" s="11">
        <v>0</v>
      </c>
      <c r="J23" s="11">
        <v>0</v>
      </c>
      <c r="K23" s="11">
        <v>0</v>
      </c>
      <c r="L23" s="11">
        <v>0</v>
      </c>
      <c r="M23" s="11">
        <v>321147</v>
      </c>
      <c r="N23" s="11">
        <v>49353</v>
      </c>
      <c r="O23" s="11">
        <v>49353</v>
      </c>
      <c r="P23" s="11">
        <v>49353</v>
      </c>
      <c r="Q23" s="11">
        <v>49352</v>
      </c>
      <c r="R23" s="11">
        <v>0</v>
      </c>
      <c r="S23" s="11">
        <v>0</v>
      </c>
      <c r="T23" s="11">
        <v>0</v>
      </c>
      <c r="U23" s="11">
        <v>46929</v>
      </c>
      <c r="V23" s="11">
        <v>47126</v>
      </c>
      <c r="W23" s="11">
        <v>32662</v>
      </c>
      <c r="X23" s="11">
        <v>0</v>
      </c>
      <c r="Y23" s="11">
        <v>0</v>
      </c>
      <c r="Z23" s="11">
        <v>0</v>
      </c>
      <c r="AA23" s="11">
        <v>0</v>
      </c>
      <c r="AB23" s="11">
        <v>0</v>
      </c>
      <c r="AC23" s="11">
        <v>0</v>
      </c>
      <c r="AD23" s="11">
        <v>0</v>
      </c>
      <c r="AE23" s="12">
        <f t="shared" si="1"/>
        <v>645275</v>
      </c>
    </row>
    <row r="24" spans="1:31" ht="12.75">
      <c r="A24" s="6" t="s">
        <v>51</v>
      </c>
      <c r="B24" s="7" t="s">
        <v>52</v>
      </c>
      <c r="C24" s="7" t="s">
        <v>42</v>
      </c>
      <c r="D24" s="8">
        <f>VLOOKUP(A24,'ACCESS alloactions'!$A$2:$B$62,2,FALSE)+70317</f>
        <v>2963918.861954987</v>
      </c>
      <c r="E24" s="9">
        <f t="shared" si="0"/>
        <v>-0.13804501295089722</v>
      </c>
      <c r="F24" s="11">
        <v>0</v>
      </c>
      <c r="G24" s="11">
        <v>0</v>
      </c>
      <c r="H24" s="11">
        <v>0</v>
      </c>
      <c r="I24" s="11">
        <v>0</v>
      </c>
      <c r="J24" s="11">
        <v>537553</v>
      </c>
      <c r="K24" s="11">
        <v>226651</v>
      </c>
      <c r="L24" s="11">
        <v>226651</v>
      </c>
      <c r="M24" s="11">
        <v>226651</v>
      </c>
      <c r="N24" s="11">
        <v>246442</v>
      </c>
      <c r="O24" s="11">
        <v>228850</v>
      </c>
      <c r="P24" s="11">
        <v>228850</v>
      </c>
      <c r="Q24" s="11">
        <v>228847</v>
      </c>
      <c r="R24" s="11">
        <v>0</v>
      </c>
      <c r="S24" s="11">
        <v>0</v>
      </c>
      <c r="T24" s="11">
        <v>0</v>
      </c>
      <c r="U24" s="11">
        <v>139566</v>
      </c>
      <c r="V24" s="11">
        <v>229853</v>
      </c>
      <c r="W24" s="11">
        <v>229853</v>
      </c>
      <c r="X24" s="11">
        <v>214152</v>
      </c>
      <c r="Y24" s="11">
        <v>0</v>
      </c>
      <c r="Z24" s="11">
        <v>0</v>
      </c>
      <c r="AA24" s="11">
        <v>0</v>
      </c>
      <c r="AB24" s="11">
        <v>0</v>
      </c>
      <c r="AC24" s="11">
        <v>0</v>
      </c>
      <c r="AD24" s="11">
        <v>0</v>
      </c>
      <c r="AE24" s="12">
        <f t="shared" si="1"/>
        <v>2963919</v>
      </c>
    </row>
    <row r="25" spans="1:31" ht="12.75">
      <c r="A25" s="6" t="s">
        <v>53</v>
      </c>
      <c r="B25" s="7" t="s">
        <v>54</v>
      </c>
      <c r="C25" s="7" t="s">
        <v>42</v>
      </c>
      <c r="D25" s="8">
        <f>VLOOKUP(A25,'ACCESS alloactions'!$A$2:$B$62,2,FALSE)+18333</f>
        <v>845945.8318629748</v>
      </c>
      <c r="E25" s="9">
        <f t="shared" si="0"/>
        <v>-0.16813702520448714</v>
      </c>
      <c r="F25" s="11">
        <v>0</v>
      </c>
      <c r="G25" s="11">
        <v>0</v>
      </c>
      <c r="H25" s="11">
        <v>30622</v>
      </c>
      <c r="I25" s="11">
        <v>66379</v>
      </c>
      <c r="J25" s="11">
        <v>66379</v>
      </c>
      <c r="K25" s="11">
        <v>66379</v>
      </c>
      <c r="L25" s="11">
        <v>66379</v>
      </c>
      <c r="M25" s="11">
        <v>66379</v>
      </c>
      <c r="N25" s="11">
        <v>66379</v>
      </c>
      <c r="O25" s="11">
        <v>87049</v>
      </c>
      <c r="P25" s="11">
        <v>68446</v>
      </c>
      <c r="Q25" s="11">
        <v>68447</v>
      </c>
      <c r="R25" s="11">
        <v>0</v>
      </c>
      <c r="S25" s="11">
        <v>0</v>
      </c>
      <c r="T25" s="11">
        <v>95834</v>
      </c>
      <c r="U25" s="11">
        <v>65553</v>
      </c>
      <c r="V25" s="11">
        <v>31721</v>
      </c>
      <c r="W25" s="11">
        <v>0</v>
      </c>
      <c r="X25" s="11">
        <v>0</v>
      </c>
      <c r="Y25" s="11">
        <v>0</v>
      </c>
      <c r="Z25" s="11">
        <v>0</v>
      </c>
      <c r="AA25" s="11">
        <v>0</v>
      </c>
      <c r="AB25" s="11">
        <v>0</v>
      </c>
      <c r="AC25" s="11">
        <v>0</v>
      </c>
      <c r="AD25" s="11">
        <v>0</v>
      </c>
      <c r="AE25" s="12">
        <f t="shared" si="1"/>
        <v>845946</v>
      </c>
    </row>
    <row r="26" spans="1:31" ht="12.75">
      <c r="A26" s="6" t="s">
        <v>55</v>
      </c>
      <c r="B26" s="7" t="s">
        <v>56</v>
      </c>
      <c r="C26" s="7" t="s">
        <v>42</v>
      </c>
      <c r="D26" s="8">
        <f>VLOOKUP(A26,'ACCESS alloactions'!$A$2:$B$62,2,FALSE)+46314</f>
        <v>1860750.723398754</v>
      </c>
      <c r="E26" s="9">
        <f t="shared" si="0"/>
        <v>-0.2766012460924685</v>
      </c>
      <c r="F26" s="11">
        <v>0</v>
      </c>
      <c r="G26" s="11">
        <v>0</v>
      </c>
      <c r="H26" s="11">
        <v>232800</v>
      </c>
      <c r="I26" s="11">
        <v>319068</v>
      </c>
      <c r="J26" s="11">
        <v>71507</v>
      </c>
      <c r="K26" s="11">
        <v>71507</v>
      </c>
      <c r="L26" s="11">
        <v>331456</v>
      </c>
      <c r="M26" s="11">
        <v>71507</v>
      </c>
      <c r="N26" s="11">
        <v>71507</v>
      </c>
      <c r="O26" s="11">
        <v>330155</v>
      </c>
      <c r="P26" s="11">
        <v>0</v>
      </c>
      <c r="Q26" s="11">
        <v>3574</v>
      </c>
      <c r="R26" s="11">
        <v>0</v>
      </c>
      <c r="S26" s="11">
        <v>0</v>
      </c>
      <c r="T26" s="11">
        <v>181005</v>
      </c>
      <c r="U26" s="11">
        <v>50014</v>
      </c>
      <c r="V26" s="11">
        <v>50014</v>
      </c>
      <c r="W26" s="11">
        <v>50014</v>
      </c>
      <c r="X26" s="11">
        <v>26623</v>
      </c>
      <c r="Y26" s="11">
        <v>0</v>
      </c>
      <c r="Z26" s="11">
        <v>0</v>
      </c>
      <c r="AA26" s="11">
        <v>0</v>
      </c>
      <c r="AB26" s="11">
        <v>0</v>
      </c>
      <c r="AC26" s="11">
        <v>0</v>
      </c>
      <c r="AD26" s="11">
        <v>0</v>
      </c>
      <c r="AE26" s="12">
        <f t="shared" si="1"/>
        <v>1860751</v>
      </c>
    </row>
    <row r="27" spans="1:31" ht="12.75">
      <c r="A27" s="6" t="s">
        <v>57</v>
      </c>
      <c r="B27" s="7" t="s">
        <v>58</v>
      </c>
      <c r="C27" s="7" t="s">
        <v>59</v>
      </c>
      <c r="D27" s="8">
        <f>VLOOKUP(A27,'ACCESS alloactions'!$A$2:$B$62,2,FALSE)+16415</f>
        <v>809036.7154364123</v>
      </c>
      <c r="E27" s="9">
        <f t="shared" si="0"/>
        <v>-0.2845635877456516</v>
      </c>
      <c r="F27" s="11">
        <v>0</v>
      </c>
      <c r="G27" s="11">
        <v>0</v>
      </c>
      <c r="H27" s="11">
        <v>0</v>
      </c>
      <c r="I27" s="11">
        <v>0</v>
      </c>
      <c r="J27" s="11">
        <v>291934</v>
      </c>
      <c r="K27" s="11">
        <v>69330</v>
      </c>
      <c r="L27" s="11">
        <v>69330</v>
      </c>
      <c r="M27" s="11">
        <v>69330</v>
      </c>
      <c r="N27" s="11">
        <v>69330</v>
      </c>
      <c r="O27" s="11">
        <v>69330</v>
      </c>
      <c r="P27" s="11">
        <v>69330</v>
      </c>
      <c r="Q27" s="11">
        <v>69325</v>
      </c>
      <c r="R27" s="11">
        <v>0</v>
      </c>
      <c r="S27" s="11">
        <v>0</v>
      </c>
      <c r="T27" s="11">
        <v>0</v>
      </c>
      <c r="U27" s="11">
        <v>11894</v>
      </c>
      <c r="V27" s="11">
        <v>19904</v>
      </c>
      <c r="W27" s="11">
        <v>0</v>
      </c>
      <c r="X27" s="11">
        <v>0</v>
      </c>
      <c r="Y27" s="11">
        <v>0</v>
      </c>
      <c r="Z27" s="11">
        <v>0</v>
      </c>
      <c r="AA27" s="11">
        <v>0</v>
      </c>
      <c r="AB27" s="11">
        <v>0</v>
      </c>
      <c r="AC27" s="11">
        <v>0</v>
      </c>
      <c r="AD27" s="11">
        <v>0</v>
      </c>
      <c r="AE27" s="12">
        <f t="shared" si="1"/>
        <v>809037</v>
      </c>
    </row>
    <row r="28" spans="1:31" ht="12.75">
      <c r="A28" s="6" t="s">
        <v>60</v>
      </c>
      <c r="B28" s="7" t="s">
        <v>61</v>
      </c>
      <c r="C28" s="7" t="s">
        <v>62</v>
      </c>
      <c r="D28" s="8">
        <f>VLOOKUP(A28,'ACCESS alloactions'!$A$2:$B$62,2,FALSE)+13752</f>
        <v>729830.4806457388</v>
      </c>
      <c r="E28" s="9">
        <f t="shared" si="0"/>
        <v>0.48064573877491057</v>
      </c>
      <c r="F28" s="11">
        <v>0</v>
      </c>
      <c r="G28" s="11">
        <v>0</v>
      </c>
      <c r="H28" s="11">
        <v>0</v>
      </c>
      <c r="I28" s="11">
        <v>0</v>
      </c>
      <c r="J28" s="11">
        <v>0</v>
      </c>
      <c r="K28" s="11">
        <v>0</v>
      </c>
      <c r="L28" s="11">
        <v>309251</v>
      </c>
      <c r="M28" s="11">
        <v>50263</v>
      </c>
      <c r="N28" s="11">
        <v>56332</v>
      </c>
      <c r="O28" s="11">
        <v>56332</v>
      </c>
      <c r="P28" s="11">
        <v>130439</v>
      </c>
      <c r="Q28" s="11">
        <v>56334</v>
      </c>
      <c r="R28" s="11">
        <v>0</v>
      </c>
      <c r="S28" s="11">
        <v>0</v>
      </c>
      <c r="T28" s="11">
        <v>70879</v>
      </c>
      <c r="U28" s="11">
        <v>0</v>
      </c>
      <c r="V28" s="11">
        <v>0</v>
      </c>
      <c r="W28" s="11">
        <v>0</v>
      </c>
      <c r="X28" s="11">
        <v>0</v>
      </c>
      <c r="Y28" s="11">
        <v>0</v>
      </c>
      <c r="Z28" s="11">
        <v>0</v>
      </c>
      <c r="AA28" s="11">
        <v>0</v>
      </c>
      <c r="AB28" s="11">
        <v>0</v>
      </c>
      <c r="AC28" s="11">
        <v>0</v>
      </c>
      <c r="AD28" s="11">
        <v>0</v>
      </c>
      <c r="AE28" s="12">
        <f t="shared" si="1"/>
        <v>729830</v>
      </c>
    </row>
    <row r="29" spans="1:31" ht="12.75">
      <c r="A29" s="6" t="s">
        <v>63</v>
      </c>
      <c r="B29" s="7" t="s">
        <v>64</v>
      </c>
      <c r="C29" s="7" t="s">
        <v>65</v>
      </c>
      <c r="D29" s="8">
        <f>VLOOKUP(A29,'ACCESS alloactions'!$A$2:$B$62,2,FALSE)+5940</f>
        <v>277758.2820982719</v>
      </c>
      <c r="E29" s="9">
        <f t="shared" si="0"/>
        <v>0.28209827188402414</v>
      </c>
      <c r="F29" s="11">
        <v>0</v>
      </c>
      <c r="G29" s="11">
        <v>0</v>
      </c>
      <c r="H29" s="11">
        <v>0</v>
      </c>
      <c r="I29" s="11">
        <v>0</v>
      </c>
      <c r="J29" s="11">
        <v>0</v>
      </c>
      <c r="K29" s="11">
        <v>0</v>
      </c>
      <c r="L29" s="11">
        <v>67003</v>
      </c>
      <c r="M29" s="11">
        <v>22839</v>
      </c>
      <c r="N29" s="11">
        <v>22839</v>
      </c>
      <c r="O29" s="11">
        <v>22839</v>
      </c>
      <c r="P29" s="11">
        <v>22839</v>
      </c>
      <c r="Q29" s="11">
        <v>22833</v>
      </c>
      <c r="R29" s="11">
        <v>0</v>
      </c>
      <c r="S29" s="11">
        <v>0</v>
      </c>
      <c r="T29" s="11">
        <v>29122</v>
      </c>
      <c r="U29" s="11">
        <v>25501</v>
      </c>
      <c r="V29" s="11">
        <v>25201</v>
      </c>
      <c r="W29" s="11">
        <v>16742</v>
      </c>
      <c r="X29" s="11">
        <v>0</v>
      </c>
      <c r="Y29" s="11">
        <v>0</v>
      </c>
      <c r="Z29" s="11">
        <v>0</v>
      </c>
      <c r="AA29" s="11">
        <v>0</v>
      </c>
      <c r="AB29" s="11">
        <v>0</v>
      </c>
      <c r="AC29" s="11">
        <v>0</v>
      </c>
      <c r="AD29" s="11">
        <v>0</v>
      </c>
      <c r="AE29" s="12">
        <f t="shared" si="1"/>
        <v>277758</v>
      </c>
    </row>
    <row r="30" spans="1:31" ht="12.75">
      <c r="A30" s="6" t="s">
        <v>66</v>
      </c>
      <c r="B30" s="7" t="s">
        <v>67</v>
      </c>
      <c r="C30" s="7" t="s">
        <v>68</v>
      </c>
      <c r="D30" s="8">
        <f>VLOOKUP(A30,'ACCESS alloactions'!$A$2:$B$62,2,FALSE)+299501</f>
        <v>14372572.82330722</v>
      </c>
      <c r="E30" s="9">
        <f t="shared" si="0"/>
        <v>-0.17669278010725975</v>
      </c>
      <c r="F30" s="11">
        <v>0</v>
      </c>
      <c r="G30" s="11">
        <v>0</v>
      </c>
      <c r="H30" s="11">
        <v>0</v>
      </c>
      <c r="I30" s="11">
        <v>0</v>
      </c>
      <c r="J30" s="11">
        <v>0</v>
      </c>
      <c r="K30" s="11">
        <v>0</v>
      </c>
      <c r="L30" s="11">
        <v>0</v>
      </c>
      <c r="M30" s="11">
        <v>4537233</v>
      </c>
      <c r="N30" s="11">
        <v>821673</v>
      </c>
      <c r="O30" s="11">
        <v>821673</v>
      </c>
      <c r="P30" s="11">
        <v>899916</v>
      </c>
      <c r="Q30" s="11">
        <v>828791</v>
      </c>
      <c r="R30" s="11">
        <v>0</v>
      </c>
      <c r="S30" s="11">
        <v>0</v>
      </c>
      <c r="T30" s="11">
        <v>0</v>
      </c>
      <c r="U30" s="11">
        <f>2107578+941021</f>
        <v>3048599</v>
      </c>
      <c r="V30" s="11">
        <v>902356</v>
      </c>
      <c r="W30" s="11">
        <v>869496</v>
      </c>
      <c r="X30" s="11">
        <v>869496</v>
      </c>
      <c r="Y30" s="11">
        <v>547251</v>
      </c>
      <c r="Z30" s="11">
        <v>226089</v>
      </c>
      <c r="AA30" s="11">
        <v>0</v>
      </c>
      <c r="AB30" s="11">
        <v>0</v>
      </c>
      <c r="AC30" s="11">
        <v>0</v>
      </c>
      <c r="AD30" s="11">
        <v>0</v>
      </c>
      <c r="AE30" s="12">
        <f t="shared" si="1"/>
        <v>14372573</v>
      </c>
    </row>
    <row r="31" spans="1:31" ht="12.75">
      <c r="A31" s="6" t="s">
        <v>69</v>
      </c>
      <c r="B31" s="7" t="s">
        <v>70</v>
      </c>
      <c r="C31" s="7" t="s">
        <v>71</v>
      </c>
      <c r="D31" s="8">
        <f>VLOOKUP(A31,'ACCESS alloactions'!$A$2:$B$62,2,FALSE)+90403</f>
        <v>4246397.306782192</v>
      </c>
      <c r="E31" s="9">
        <f t="shared" si="0"/>
        <v>0.306782191619277</v>
      </c>
      <c r="F31" s="11">
        <v>0</v>
      </c>
      <c r="G31" s="11">
        <v>0</v>
      </c>
      <c r="H31" s="11">
        <v>0</v>
      </c>
      <c r="I31" s="11">
        <v>0</v>
      </c>
      <c r="J31" s="11">
        <v>1168520</v>
      </c>
      <c r="K31" s="11">
        <v>303619</v>
      </c>
      <c r="L31" s="11">
        <v>303619</v>
      </c>
      <c r="M31" s="11">
        <v>303619</v>
      </c>
      <c r="N31" s="11">
        <v>303619</v>
      </c>
      <c r="O31" s="11">
        <v>415719</v>
      </c>
      <c r="P31" s="11">
        <v>314829</v>
      </c>
      <c r="Q31" s="11">
        <v>314833</v>
      </c>
      <c r="R31" s="11">
        <v>0</v>
      </c>
      <c r="S31" s="11">
        <v>0</v>
      </c>
      <c r="T31" s="11">
        <v>397239</v>
      </c>
      <c r="U31" s="11">
        <v>319116</v>
      </c>
      <c r="V31" s="11">
        <v>101665</v>
      </c>
      <c r="W31" s="11">
        <v>0</v>
      </c>
      <c r="X31" s="11">
        <v>0</v>
      </c>
      <c r="Y31" s="11">
        <v>0</v>
      </c>
      <c r="Z31" s="11">
        <v>0</v>
      </c>
      <c r="AA31" s="11">
        <v>0</v>
      </c>
      <c r="AB31" s="11">
        <v>0</v>
      </c>
      <c r="AC31" s="11">
        <v>0</v>
      </c>
      <c r="AD31" s="11">
        <v>0</v>
      </c>
      <c r="AE31" s="12">
        <f t="shared" si="1"/>
        <v>4246397</v>
      </c>
    </row>
    <row r="32" spans="1:31" ht="12.75">
      <c r="A32" s="6" t="s">
        <v>72</v>
      </c>
      <c r="B32" s="7" t="s">
        <v>73</v>
      </c>
      <c r="C32" s="7" t="s">
        <v>71</v>
      </c>
      <c r="D32" s="8">
        <f>VLOOKUP(A32,'ACCESS alloactions'!$A$2:$B$62,2,FALSE)+55169</f>
        <v>2733911.9736527847</v>
      </c>
      <c r="E32" s="9">
        <f t="shared" si="0"/>
        <v>-0.02634721528738737</v>
      </c>
      <c r="F32" s="11">
        <v>0</v>
      </c>
      <c r="G32" s="11">
        <v>0</v>
      </c>
      <c r="H32" s="11">
        <v>0</v>
      </c>
      <c r="I32" s="11">
        <v>0</v>
      </c>
      <c r="J32" s="11">
        <v>0</v>
      </c>
      <c r="K32" s="11">
        <v>0</v>
      </c>
      <c r="L32" s="11">
        <v>646165</v>
      </c>
      <c r="M32" s="11">
        <v>241004</v>
      </c>
      <c r="N32" s="11">
        <v>10930</v>
      </c>
      <c r="O32" s="11">
        <v>185698</v>
      </c>
      <c r="P32" s="11">
        <v>185698</v>
      </c>
      <c r="Q32" s="11">
        <v>185699</v>
      </c>
      <c r="R32" s="11">
        <v>0</v>
      </c>
      <c r="S32" s="11">
        <v>0</v>
      </c>
      <c r="T32" s="11">
        <v>159818</v>
      </c>
      <c r="U32" s="11">
        <v>233708</v>
      </c>
      <c r="V32" s="11">
        <v>256772</v>
      </c>
      <c r="W32" s="11">
        <v>219614</v>
      </c>
      <c r="X32" s="11">
        <v>219614</v>
      </c>
      <c r="Y32" s="11">
        <v>189192</v>
      </c>
      <c r="Z32" s="11">
        <v>0</v>
      </c>
      <c r="AA32" s="11">
        <v>0</v>
      </c>
      <c r="AB32" s="11">
        <v>0</v>
      </c>
      <c r="AC32" s="11">
        <v>0</v>
      </c>
      <c r="AD32" s="11">
        <v>0</v>
      </c>
      <c r="AE32" s="12">
        <f t="shared" si="1"/>
        <v>2733912</v>
      </c>
    </row>
    <row r="33" spans="1:31" ht="12.75">
      <c r="A33" s="6" t="s">
        <v>74</v>
      </c>
      <c r="B33" s="7" t="s">
        <v>75</v>
      </c>
      <c r="C33" s="7" t="s">
        <v>71</v>
      </c>
      <c r="D33" s="8">
        <f>VLOOKUP(A33,'ACCESS alloactions'!$A$2:$B$62,2,FALSE)+4154</f>
        <v>240123.18570885825</v>
      </c>
      <c r="E33" s="9">
        <f t="shared" si="0"/>
        <v>0.1857088582473807</v>
      </c>
      <c r="F33" s="11">
        <v>0</v>
      </c>
      <c r="G33" s="11">
        <v>0</v>
      </c>
      <c r="H33" s="11">
        <v>0</v>
      </c>
      <c r="I33" s="11">
        <v>0</v>
      </c>
      <c r="J33" s="11">
        <v>43695</v>
      </c>
      <c r="K33" s="11">
        <v>18885</v>
      </c>
      <c r="L33" s="11">
        <v>18930</v>
      </c>
      <c r="M33" s="11">
        <v>18930</v>
      </c>
      <c r="N33" s="11">
        <v>18930</v>
      </c>
      <c r="O33" s="11">
        <v>18930</v>
      </c>
      <c r="P33" s="11">
        <v>18930</v>
      </c>
      <c r="Q33" s="11">
        <v>18931</v>
      </c>
      <c r="R33" s="11">
        <v>0</v>
      </c>
      <c r="S33" s="11">
        <v>0</v>
      </c>
      <c r="T33" s="11">
        <v>0</v>
      </c>
      <c r="U33" s="11">
        <v>8329</v>
      </c>
      <c r="V33" s="11">
        <v>18487</v>
      </c>
      <c r="W33" s="11">
        <v>18487</v>
      </c>
      <c r="X33" s="11">
        <v>18487</v>
      </c>
      <c r="Y33" s="11">
        <v>172</v>
      </c>
      <c r="Z33" s="11">
        <v>0</v>
      </c>
      <c r="AA33" s="11">
        <v>0</v>
      </c>
      <c r="AB33" s="11">
        <v>0</v>
      </c>
      <c r="AC33" s="11">
        <v>0</v>
      </c>
      <c r="AD33" s="11">
        <v>0</v>
      </c>
      <c r="AE33" s="12">
        <f t="shared" si="1"/>
        <v>240123</v>
      </c>
    </row>
    <row r="34" spans="1:31" ht="12.75">
      <c r="A34" s="6" t="s">
        <v>76</v>
      </c>
      <c r="B34" s="7" t="s">
        <v>77</v>
      </c>
      <c r="C34" s="7" t="s">
        <v>78</v>
      </c>
      <c r="D34" s="8">
        <f>VLOOKUP(A34,'ACCESS alloactions'!$A$2:$B$62,2,FALSE)+8741</f>
        <v>536902.7001411362</v>
      </c>
      <c r="E34" s="9">
        <f t="shared" si="0"/>
        <v>-0.2998588638147339</v>
      </c>
      <c r="F34" s="11">
        <v>0</v>
      </c>
      <c r="G34" s="11">
        <v>0</v>
      </c>
      <c r="H34" s="11">
        <v>0</v>
      </c>
      <c r="I34" s="11">
        <v>0</v>
      </c>
      <c r="J34" s="11">
        <v>0</v>
      </c>
      <c r="K34" s="11">
        <v>40093</v>
      </c>
      <c r="L34" s="11">
        <v>41085</v>
      </c>
      <c r="M34" s="11">
        <v>32657</v>
      </c>
      <c r="N34" s="11">
        <v>32657</v>
      </c>
      <c r="O34" s="11">
        <v>32657</v>
      </c>
      <c r="P34" s="11">
        <v>39936</v>
      </c>
      <c r="Q34" s="11">
        <v>32653</v>
      </c>
      <c r="R34" s="11">
        <v>0</v>
      </c>
      <c r="S34" s="11">
        <v>0</v>
      </c>
      <c r="T34" s="11">
        <v>0</v>
      </c>
      <c r="U34" s="11">
        <v>19818</v>
      </c>
      <c r="V34" s="11">
        <v>31367</v>
      </c>
      <c r="W34" s="11">
        <v>31367</v>
      </c>
      <c r="X34" s="11">
        <v>31367</v>
      </c>
      <c r="Y34" s="11">
        <v>74095</v>
      </c>
      <c r="Z34" s="11">
        <v>36708</v>
      </c>
      <c r="AA34" s="11">
        <v>60443</v>
      </c>
      <c r="AB34" s="11">
        <v>0</v>
      </c>
      <c r="AC34" s="11">
        <v>0</v>
      </c>
      <c r="AD34" s="11">
        <v>0</v>
      </c>
      <c r="AE34" s="12">
        <f t="shared" si="1"/>
        <v>536903</v>
      </c>
    </row>
    <row r="35" spans="1:31" ht="12.75">
      <c r="A35" s="6" t="s">
        <v>79</v>
      </c>
      <c r="B35" s="7" t="s">
        <v>80</v>
      </c>
      <c r="C35" s="7" t="s">
        <v>81</v>
      </c>
      <c r="D35" s="8">
        <f>VLOOKUP(A35,'ACCESS alloactions'!$A$2:$B$62,2,FALSE)+84187</f>
        <v>4149884.175569811</v>
      </c>
      <c r="E35" s="9">
        <f t="shared" si="0"/>
        <v>0.17556981090456247</v>
      </c>
      <c r="F35" s="11">
        <v>0</v>
      </c>
      <c r="G35" s="11">
        <v>0</v>
      </c>
      <c r="H35" s="11">
        <v>0</v>
      </c>
      <c r="I35" s="11">
        <v>0</v>
      </c>
      <c r="J35" s="11">
        <v>919398</v>
      </c>
      <c r="K35" s="11">
        <v>314346</v>
      </c>
      <c r="L35" s="11">
        <v>314346</v>
      </c>
      <c r="M35" s="11">
        <v>490066</v>
      </c>
      <c r="N35" s="11">
        <v>336311</v>
      </c>
      <c r="O35" s="11">
        <v>336311</v>
      </c>
      <c r="P35" s="11">
        <v>440839</v>
      </c>
      <c r="Q35" s="11">
        <v>345814</v>
      </c>
      <c r="R35" s="11">
        <v>0</v>
      </c>
      <c r="S35" s="11">
        <v>0</v>
      </c>
      <c r="T35" s="11">
        <v>0</v>
      </c>
      <c r="U35" s="11">
        <v>6891</v>
      </c>
      <c r="V35" s="11">
        <v>546101</v>
      </c>
      <c r="W35" s="11">
        <v>99461</v>
      </c>
      <c r="X35" s="11">
        <v>0</v>
      </c>
      <c r="Y35" s="11">
        <v>0</v>
      </c>
      <c r="Z35" s="11">
        <v>0</v>
      </c>
      <c r="AA35" s="11">
        <v>0</v>
      </c>
      <c r="AB35" s="11">
        <v>0</v>
      </c>
      <c r="AC35" s="11">
        <v>0</v>
      </c>
      <c r="AD35" s="11">
        <v>0</v>
      </c>
      <c r="AE35" s="12">
        <f t="shared" si="1"/>
        <v>4149884</v>
      </c>
    </row>
    <row r="36" spans="1:31" ht="12.75">
      <c r="A36" s="6" t="s">
        <v>82</v>
      </c>
      <c r="B36" s="7" t="s">
        <v>83</v>
      </c>
      <c r="C36" s="7" t="s">
        <v>84</v>
      </c>
      <c r="D36" s="8">
        <f>VLOOKUP(A36,'ACCESS alloactions'!$A$2:$B$62,2,FALSE)+8283</f>
        <v>482539.8729035268</v>
      </c>
      <c r="E36" s="9">
        <f t="shared" si="0"/>
        <v>-0.12709647318115458</v>
      </c>
      <c r="F36" s="11">
        <v>0</v>
      </c>
      <c r="G36" s="11">
        <v>0</v>
      </c>
      <c r="H36" s="11">
        <v>0</v>
      </c>
      <c r="I36" s="11">
        <v>0</v>
      </c>
      <c r="J36" s="11">
        <v>132769</v>
      </c>
      <c r="K36" s="11">
        <v>33884</v>
      </c>
      <c r="L36" s="11">
        <v>33884</v>
      </c>
      <c r="M36" s="11">
        <v>33884</v>
      </c>
      <c r="N36" s="11">
        <v>84617</v>
      </c>
      <c r="O36" s="11">
        <v>39521</v>
      </c>
      <c r="P36" s="11">
        <v>39521</v>
      </c>
      <c r="Q36" s="11">
        <v>39526</v>
      </c>
      <c r="R36" s="11">
        <v>0</v>
      </c>
      <c r="S36" s="11">
        <v>0</v>
      </c>
      <c r="T36" s="11">
        <v>36181</v>
      </c>
      <c r="U36" s="11">
        <v>8753</v>
      </c>
      <c r="V36" s="11">
        <v>0</v>
      </c>
      <c r="W36" s="11">
        <v>0</v>
      </c>
      <c r="X36" s="11">
        <v>0</v>
      </c>
      <c r="Y36" s="11">
        <v>0</v>
      </c>
      <c r="Z36" s="11">
        <v>0</v>
      </c>
      <c r="AA36" s="11">
        <v>0</v>
      </c>
      <c r="AB36" s="11">
        <v>0</v>
      </c>
      <c r="AC36" s="11">
        <v>0</v>
      </c>
      <c r="AD36" s="11">
        <v>0</v>
      </c>
      <c r="AE36" s="12">
        <f t="shared" si="1"/>
        <v>482540</v>
      </c>
    </row>
    <row r="37" spans="1:31" ht="12.75">
      <c r="A37" s="6" t="s">
        <v>85</v>
      </c>
      <c r="B37" s="7" t="s">
        <v>86</v>
      </c>
      <c r="C37" s="7" t="s">
        <v>87</v>
      </c>
      <c r="D37" s="8">
        <f>VLOOKUP(A37,'ACCESS alloactions'!$A$2:$B$62,2,FALSE)+23993</f>
        <v>1139639.9147875635</v>
      </c>
      <c r="E37" s="9">
        <f t="shared" si="0"/>
        <v>-0.08521243650466204</v>
      </c>
      <c r="F37" s="11">
        <v>0</v>
      </c>
      <c r="G37" s="11">
        <v>0</v>
      </c>
      <c r="H37" s="11">
        <v>0</v>
      </c>
      <c r="I37" s="11">
        <v>0</v>
      </c>
      <c r="J37" s="11">
        <v>0</v>
      </c>
      <c r="K37" s="11">
        <v>0</v>
      </c>
      <c r="L37" s="11">
        <v>0</v>
      </c>
      <c r="M37" s="11">
        <v>990</v>
      </c>
      <c r="N37" s="11">
        <v>70948</v>
      </c>
      <c r="O37" s="11">
        <v>70948</v>
      </c>
      <c r="P37" s="11">
        <v>125640</v>
      </c>
      <c r="Q37" s="11">
        <v>75914</v>
      </c>
      <c r="R37" s="11">
        <v>0</v>
      </c>
      <c r="S37" s="11">
        <v>0</v>
      </c>
      <c r="T37" s="11">
        <v>0</v>
      </c>
      <c r="U37" s="11">
        <v>73314</v>
      </c>
      <c r="V37" s="11">
        <v>72297</v>
      </c>
      <c r="W37" s="11">
        <v>72297</v>
      </c>
      <c r="X37" s="11">
        <v>72297</v>
      </c>
      <c r="Y37" s="11">
        <v>72297</v>
      </c>
      <c r="Z37" s="11">
        <v>72297</v>
      </c>
      <c r="AA37" s="11">
        <v>72297</v>
      </c>
      <c r="AB37" s="11">
        <f>173161+114943</f>
        <v>288104</v>
      </c>
      <c r="AC37" s="11">
        <v>0</v>
      </c>
      <c r="AD37" s="11">
        <v>0</v>
      </c>
      <c r="AE37" s="12">
        <f t="shared" si="1"/>
        <v>1139640</v>
      </c>
    </row>
    <row r="38" spans="1:31" ht="12.75">
      <c r="A38" s="6" t="s">
        <v>88</v>
      </c>
      <c r="B38" s="7" t="s">
        <v>89</v>
      </c>
      <c r="C38" s="7" t="s">
        <v>90</v>
      </c>
      <c r="D38" s="8">
        <f>VLOOKUP(A38,'ACCESS alloactions'!$A$2:$B$62,2,FALSE)+12829</f>
        <v>638946.9302088782</v>
      </c>
      <c r="E38" s="9">
        <f t="shared" si="0"/>
        <v>-0.06979112175758928</v>
      </c>
      <c r="F38" s="11">
        <v>0</v>
      </c>
      <c r="G38" s="11">
        <v>0</v>
      </c>
      <c r="H38" s="11">
        <v>0</v>
      </c>
      <c r="I38" s="11">
        <v>0</v>
      </c>
      <c r="J38" s="11">
        <v>0</v>
      </c>
      <c r="K38" s="11">
        <v>0</v>
      </c>
      <c r="L38" s="11">
        <v>283213</v>
      </c>
      <c r="M38" s="11">
        <v>54550</v>
      </c>
      <c r="N38" s="11">
        <v>54550</v>
      </c>
      <c r="O38" s="11">
        <v>54550</v>
      </c>
      <c r="P38" s="11">
        <v>118856</v>
      </c>
      <c r="Q38" s="11">
        <v>60399</v>
      </c>
      <c r="R38" s="11">
        <v>0</v>
      </c>
      <c r="S38" s="11">
        <v>0</v>
      </c>
      <c r="T38" s="11">
        <v>0</v>
      </c>
      <c r="U38" s="11">
        <v>0</v>
      </c>
      <c r="V38" s="11">
        <v>12829</v>
      </c>
      <c r="W38" s="11">
        <v>0</v>
      </c>
      <c r="X38" s="11">
        <v>0</v>
      </c>
      <c r="Y38" s="11">
        <v>0</v>
      </c>
      <c r="Z38" s="11">
        <v>0</v>
      </c>
      <c r="AA38" s="11">
        <v>0</v>
      </c>
      <c r="AB38" s="11">
        <v>0</v>
      </c>
      <c r="AC38" s="11">
        <v>0</v>
      </c>
      <c r="AD38" s="11">
        <v>0</v>
      </c>
      <c r="AE38" s="12">
        <f t="shared" si="1"/>
        <v>638947</v>
      </c>
    </row>
    <row r="39" spans="1:31" ht="12.75">
      <c r="A39" s="6" t="s">
        <v>91</v>
      </c>
      <c r="B39" s="7" t="s">
        <v>92</v>
      </c>
      <c r="C39" s="7" t="s">
        <v>93</v>
      </c>
      <c r="D39" s="8">
        <f>VLOOKUP(A39,'ACCESS alloactions'!$A$2:$B$62,2,FALSE)+69042</f>
        <v>3273843.4829994785</v>
      </c>
      <c r="E39" s="9">
        <f t="shared" si="0"/>
        <v>0.4829994784668088</v>
      </c>
      <c r="F39" s="11">
        <v>0</v>
      </c>
      <c r="G39" s="11">
        <v>0</v>
      </c>
      <c r="H39" s="11">
        <v>0</v>
      </c>
      <c r="I39" s="11">
        <v>0</v>
      </c>
      <c r="J39" s="11">
        <v>0</v>
      </c>
      <c r="K39" s="11">
        <v>0</v>
      </c>
      <c r="L39" s="11">
        <v>0</v>
      </c>
      <c r="M39" s="11">
        <v>0</v>
      </c>
      <c r="N39" s="11">
        <v>0</v>
      </c>
      <c r="O39" s="11">
        <v>0</v>
      </c>
      <c r="P39" s="11">
        <v>1907053</v>
      </c>
      <c r="Q39" s="11">
        <v>180938</v>
      </c>
      <c r="R39" s="11">
        <v>0</v>
      </c>
      <c r="S39" s="11">
        <v>0</v>
      </c>
      <c r="T39" s="11">
        <v>0</v>
      </c>
      <c r="U39" s="11">
        <f>139923+188055</f>
        <v>327978</v>
      </c>
      <c r="V39" s="11">
        <v>326750</v>
      </c>
      <c r="W39" s="11">
        <v>215794</v>
      </c>
      <c r="X39" s="11">
        <v>215794</v>
      </c>
      <c r="Y39" s="11">
        <v>99536</v>
      </c>
      <c r="Z39" s="11">
        <v>0</v>
      </c>
      <c r="AA39" s="11">
        <v>0</v>
      </c>
      <c r="AB39" s="11">
        <v>0</v>
      </c>
      <c r="AC39" s="11">
        <v>0</v>
      </c>
      <c r="AD39" s="11">
        <v>0</v>
      </c>
      <c r="AE39" s="12">
        <f t="shared" si="1"/>
        <v>3273843</v>
      </c>
    </row>
    <row r="40" spans="1:31" ht="12.75">
      <c r="A40" s="6" t="s">
        <v>94</v>
      </c>
      <c r="B40" s="7" t="s">
        <v>95</v>
      </c>
      <c r="C40" s="7" t="s">
        <v>93</v>
      </c>
      <c r="D40" s="8">
        <f>VLOOKUP(A40,'ACCESS alloactions'!$A$2:$B$62,2,FALSE)+30566</f>
        <v>1335096.5697182121</v>
      </c>
      <c r="E40" s="9">
        <f t="shared" si="0"/>
        <v>-0.4302817878779024</v>
      </c>
      <c r="F40" s="11">
        <v>0</v>
      </c>
      <c r="G40" s="11">
        <v>0</v>
      </c>
      <c r="H40" s="11">
        <v>0</v>
      </c>
      <c r="I40" s="11">
        <v>0</v>
      </c>
      <c r="J40" s="11">
        <v>380642</v>
      </c>
      <c r="K40" s="11">
        <v>106072</v>
      </c>
      <c r="L40" s="11">
        <v>115773</v>
      </c>
      <c r="M40" s="11">
        <v>115773</v>
      </c>
      <c r="N40" s="11">
        <v>182763</v>
      </c>
      <c r="O40" s="11">
        <v>116749</v>
      </c>
      <c r="P40" s="11">
        <v>116749</v>
      </c>
      <c r="Q40" s="11">
        <v>116748</v>
      </c>
      <c r="R40" s="11">
        <v>0</v>
      </c>
      <c r="S40" s="11">
        <v>0</v>
      </c>
      <c r="T40" s="11">
        <v>82485</v>
      </c>
      <c r="U40" s="11">
        <v>1333</v>
      </c>
      <c r="V40" s="11">
        <v>0</v>
      </c>
      <c r="W40" s="11">
        <v>0</v>
      </c>
      <c r="X40" s="11">
        <v>0</v>
      </c>
      <c r="Y40" s="11">
        <v>0</v>
      </c>
      <c r="Z40" s="11">
        <v>0</v>
      </c>
      <c r="AA40" s="11">
        <v>0</v>
      </c>
      <c r="AB40" s="11">
        <v>10</v>
      </c>
      <c r="AC40" s="11">
        <v>0</v>
      </c>
      <c r="AD40" s="11">
        <v>0</v>
      </c>
      <c r="AE40" s="12">
        <f t="shared" si="1"/>
        <v>1335097</v>
      </c>
    </row>
    <row r="41" spans="1:31" ht="12.75">
      <c r="A41" s="6" t="s">
        <v>96</v>
      </c>
      <c r="B41" s="7" t="s">
        <v>97</v>
      </c>
      <c r="C41" s="7" t="s">
        <v>59</v>
      </c>
      <c r="D41" s="8">
        <f>VLOOKUP(A41,'ACCESS alloactions'!$A$2:$B$62,2,FALSE)+12845</f>
        <v>541501.9976699485</v>
      </c>
      <c r="E41" s="9">
        <f t="shared" si="0"/>
        <v>-0.002330051502212882</v>
      </c>
      <c r="F41" s="11">
        <v>0</v>
      </c>
      <c r="G41" s="11">
        <v>0</v>
      </c>
      <c r="H41" s="11">
        <v>0</v>
      </c>
      <c r="I41" s="11">
        <v>0</v>
      </c>
      <c r="J41" s="11">
        <v>163340</v>
      </c>
      <c r="K41" s="11">
        <v>43713</v>
      </c>
      <c r="L41" s="11">
        <v>43713</v>
      </c>
      <c r="M41" s="11">
        <v>43713</v>
      </c>
      <c r="N41" s="11">
        <v>43713</v>
      </c>
      <c r="O41" s="11">
        <v>43713</v>
      </c>
      <c r="P41" s="11">
        <v>43713</v>
      </c>
      <c r="Q41" s="11">
        <v>43708</v>
      </c>
      <c r="R41" s="11">
        <v>0</v>
      </c>
      <c r="S41" s="11">
        <v>0</v>
      </c>
      <c r="T41" s="11">
        <v>72176</v>
      </c>
      <c r="U41" s="11">
        <v>0</v>
      </c>
      <c r="V41" s="11">
        <v>0</v>
      </c>
      <c r="W41" s="11">
        <v>0</v>
      </c>
      <c r="X41" s="11">
        <v>0</v>
      </c>
      <c r="Y41" s="11">
        <v>0</v>
      </c>
      <c r="Z41" s="11">
        <v>0</v>
      </c>
      <c r="AA41" s="11">
        <v>0</v>
      </c>
      <c r="AB41" s="11">
        <v>0</v>
      </c>
      <c r="AC41" s="11">
        <v>0</v>
      </c>
      <c r="AD41" s="11">
        <v>0</v>
      </c>
      <c r="AE41" s="12">
        <f t="shared" si="1"/>
        <v>541502</v>
      </c>
    </row>
    <row r="42" spans="1:31" ht="12.75">
      <c r="A42" s="24" t="s">
        <v>156</v>
      </c>
      <c r="B42" s="7" t="s">
        <v>139</v>
      </c>
      <c r="C42" s="7" t="s">
        <v>59</v>
      </c>
      <c r="D42" s="8">
        <f>VLOOKUP(A42,'ACCESS alloactions'!$A$2:$B$62,2,FALSE)+10317</f>
        <v>499696</v>
      </c>
      <c r="E42" s="9">
        <f t="shared" si="0"/>
        <v>0</v>
      </c>
      <c r="F42" s="11">
        <v>0</v>
      </c>
      <c r="G42" s="11">
        <v>0</v>
      </c>
      <c r="H42" s="11">
        <v>0</v>
      </c>
      <c r="I42" s="11">
        <v>0</v>
      </c>
      <c r="J42" s="11">
        <v>203840</v>
      </c>
      <c r="K42" s="11">
        <v>40768</v>
      </c>
      <c r="L42" s="11">
        <v>40768</v>
      </c>
      <c r="M42" s="11">
        <v>40768</v>
      </c>
      <c r="N42" s="11">
        <v>40768</v>
      </c>
      <c r="O42" s="11">
        <v>40768</v>
      </c>
      <c r="P42" s="11">
        <v>40768</v>
      </c>
      <c r="Q42" s="11">
        <v>40768</v>
      </c>
      <c r="R42" s="11">
        <v>0</v>
      </c>
      <c r="S42" s="11">
        <v>-34390</v>
      </c>
      <c r="T42" s="11">
        <v>0</v>
      </c>
      <c r="U42" s="11">
        <v>163</v>
      </c>
      <c r="V42" s="11">
        <v>40553</v>
      </c>
      <c r="W42" s="11">
        <v>4154</v>
      </c>
      <c r="X42" s="11">
        <v>0</v>
      </c>
      <c r="Y42" s="11">
        <v>0</v>
      </c>
      <c r="Z42" s="11">
        <v>0</v>
      </c>
      <c r="AA42" s="11">
        <v>0</v>
      </c>
      <c r="AB42" s="11">
        <v>0</v>
      </c>
      <c r="AC42" s="11">
        <v>0</v>
      </c>
      <c r="AD42" s="11">
        <v>0</v>
      </c>
      <c r="AE42" s="12">
        <f t="shared" si="1"/>
        <v>499696</v>
      </c>
    </row>
    <row r="43" spans="1:31" ht="12.75">
      <c r="A43" s="6" t="s">
        <v>98</v>
      </c>
      <c r="B43" s="7" t="s">
        <v>99</v>
      </c>
      <c r="C43" s="7" t="s">
        <v>59</v>
      </c>
      <c r="D43" s="8">
        <f>VLOOKUP(A43,'ACCESS alloactions'!$A$2:$B$62,2,FALSE)+74081</f>
        <v>3330805.220303424</v>
      </c>
      <c r="E43" s="9">
        <f t="shared" si="0"/>
        <v>0.22030342416837811</v>
      </c>
      <c r="F43" s="11">
        <v>0</v>
      </c>
      <c r="G43" s="11">
        <v>0</v>
      </c>
      <c r="H43" s="11">
        <v>0</v>
      </c>
      <c r="I43" s="11">
        <v>0</v>
      </c>
      <c r="J43" s="11">
        <v>0</v>
      </c>
      <c r="K43" s="11">
        <v>0</v>
      </c>
      <c r="L43" s="11">
        <v>0</v>
      </c>
      <c r="M43" s="11">
        <v>769609</v>
      </c>
      <c r="N43" s="11">
        <v>195332</v>
      </c>
      <c r="O43" s="11">
        <v>195336</v>
      </c>
      <c r="P43" s="11">
        <v>195332</v>
      </c>
      <c r="Q43" s="11">
        <v>195332</v>
      </c>
      <c r="R43" s="11">
        <v>0</v>
      </c>
      <c r="S43" s="11">
        <v>0</v>
      </c>
      <c r="T43" s="11">
        <v>0</v>
      </c>
      <c r="U43" s="12">
        <f>865792+288785</f>
        <v>1154577</v>
      </c>
      <c r="V43" s="11">
        <v>238523</v>
      </c>
      <c r="W43" s="11">
        <v>238523</v>
      </c>
      <c r="X43" s="11">
        <v>148241</v>
      </c>
      <c r="Y43" s="11">
        <v>0</v>
      </c>
      <c r="Z43" s="11">
        <v>0</v>
      </c>
      <c r="AA43" s="11">
        <v>0</v>
      </c>
      <c r="AB43" s="11">
        <v>0</v>
      </c>
      <c r="AC43" s="11">
        <v>0</v>
      </c>
      <c r="AD43" s="11">
        <v>0</v>
      </c>
      <c r="AE43" s="12">
        <f t="shared" si="1"/>
        <v>3330805</v>
      </c>
    </row>
    <row r="44" spans="1:31" ht="12.75">
      <c r="A44" s="6" t="s">
        <v>100</v>
      </c>
      <c r="B44" s="7" t="s">
        <v>101</v>
      </c>
      <c r="C44" s="7"/>
      <c r="D44" s="8">
        <f>VLOOKUP(A44,'ACCESS alloactions'!$A$2:$B$62,2,FALSE)+28803</f>
        <v>1482027.364768396</v>
      </c>
      <c r="E44" s="9">
        <f t="shared" si="0"/>
        <v>0.3647683958988637</v>
      </c>
      <c r="F44" s="11">
        <v>0</v>
      </c>
      <c r="G44" s="11">
        <v>0</v>
      </c>
      <c r="H44" s="11">
        <v>329703</v>
      </c>
      <c r="I44" s="11">
        <v>0</v>
      </c>
      <c r="J44" s="11">
        <v>79812</v>
      </c>
      <c r="K44" s="11">
        <v>109901</v>
      </c>
      <c r="L44" s="11">
        <v>163331</v>
      </c>
      <c r="M44" s="11">
        <v>109901</v>
      </c>
      <c r="N44" s="11">
        <v>109901</v>
      </c>
      <c r="O44" s="11">
        <v>154724</v>
      </c>
      <c r="P44" s="11">
        <v>109901</v>
      </c>
      <c r="Q44" s="11">
        <v>109897</v>
      </c>
      <c r="R44" s="11">
        <v>28803</v>
      </c>
      <c r="S44" s="11">
        <v>82602</v>
      </c>
      <c r="T44" s="11">
        <v>93551</v>
      </c>
      <c r="U44" s="11">
        <v>0</v>
      </c>
      <c r="V44" s="11">
        <v>0</v>
      </c>
      <c r="W44" s="11">
        <v>0</v>
      </c>
      <c r="X44" s="11">
        <v>0</v>
      </c>
      <c r="Y44" s="11">
        <v>0</v>
      </c>
      <c r="Z44" s="11">
        <v>0</v>
      </c>
      <c r="AA44" s="11">
        <v>0</v>
      </c>
      <c r="AB44" s="11">
        <v>0</v>
      </c>
      <c r="AC44" s="11">
        <v>0</v>
      </c>
      <c r="AD44" s="11">
        <v>0</v>
      </c>
      <c r="AE44" s="12">
        <f t="shared" si="1"/>
        <v>1482027</v>
      </c>
    </row>
    <row r="45" spans="1:31" ht="12.75">
      <c r="A45" s="6" t="s">
        <v>102</v>
      </c>
      <c r="B45" s="7" t="s">
        <v>103</v>
      </c>
      <c r="C45" s="7"/>
      <c r="D45" s="8">
        <f>VLOOKUP(A45,'ACCESS alloactions'!$A$2:$B$62,2,FALSE)+7914</f>
        <v>473662.520655094</v>
      </c>
      <c r="E45" s="9">
        <f t="shared" si="0"/>
        <v>-0.47934490599436685</v>
      </c>
      <c r="F45" s="11">
        <v>0</v>
      </c>
      <c r="G45" s="11">
        <v>0</v>
      </c>
      <c r="H45" s="11">
        <v>0</v>
      </c>
      <c r="I45" s="11">
        <v>0</v>
      </c>
      <c r="J45" s="11">
        <v>0</v>
      </c>
      <c r="K45" s="11">
        <v>58875</v>
      </c>
      <c r="L45" s="11">
        <v>0</v>
      </c>
      <c r="M45" s="11">
        <v>79548</v>
      </c>
      <c r="N45" s="11">
        <v>33936</v>
      </c>
      <c r="O45" s="11">
        <v>95887</v>
      </c>
      <c r="P45" s="11">
        <v>33936</v>
      </c>
      <c r="Q45" s="11">
        <v>33940</v>
      </c>
      <c r="R45" s="11">
        <v>0</v>
      </c>
      <c r="S45" s="11">
        <v>0</v>
      </c>
      <c r="T45" s="11">
        <v>0</v>
      </c>
      <c r="U45" s="11">
        <v>13043</v>
      </c>
      <c r="V45" s="11">
        <v>36020</v>
      </c>
      <c r="W45" s="11">
        <v>55670</v>
      </c>
      <c r="X45" s="11">
        <v>32808</v>
      </c>
      <c r="Y45" s="11">
        <v>0</v>
      </c>
      <c r="Z45" s="11">
        <v>0</v>
      </c>
      <c r="AA45" s="11">
        <v>0</v>
      </c>
      <c r="AB45" s="11">
        <v>0</v>
      </c>
      <c r="AC45" s="11">
        <v>0</v>
      </c>
      <c r="AD45" s="11">
        <v>0</v>
      </c>
      <c r="AE45" s="12">
        <f t="shared" si="1"/>
        <v>473663</v>
      </c>
    </row>
    <row r="46" spans="1:31" ht="12.75">
      <c r="A46" s="6" t="s">
        <v>105</v>
      </c>
      <c r="B46" s="7" t="s">
        <v>106</v>
      </c>
      <c r="C46" s="7"/>
      <c r="D46" s="8">
        <f>VLOOKUP(A46,'ACCESS alloactions'!$A$2:$B$62,2,FALSE)+95078</f>
        <v>4226223.636962357</v>
      </c>
      <c r="E46" s="9">
        <f t="shared" si="0"/>
        <v>-0.36303764302283525</v>
      </c>
      <c r="F46" s="11">
        <v>0</v>
      </c>
      <c r="G46" s="11">
        <v>0</v>
      </c>
      <c r="H46" s="11">
        <v>0</v>
      </c>
      <c r="I46" s="11">
        <v>0</v>
      </c>
      <c r="J46" s="11">
        <v>356402</v>
      </c>
      <c r="K46" s="11">
        <v>271393</v>
      </c>
      <c r="L46" s="11">
        <v>455857</v>
      </c>
      <c r="M46" s="11">
        <v>348289</v>
      </c>
      <c r="N46" s="11">
        <v>926493</v>
      </c>
      <c r="O46" s="11">
        <v>453776</v>
      </c>
      <c r="P46" s="11">
        <v>314880</v>
      </c>
      <c r="Q46" s="11">
        <v>314880</v>
      </c>
      <c r="R46" s="11">
        <v>0</v>
      </c>
      <c r="S46" s="11">
        <v>0</v>
      </c>
      <c r="T46" s="11">
        <v>0</v>
      </c>
      <c r="U46" s="11">
        <v>425780</v>
      </c>
      <c r="V46" s="11">
        <v>286908</v>
      </c>
      <c r="W46" s="11">
        <v>71566</v>
      </c>
      <c r="X46" s="11">
        <v>0</v>
      </c>
      <c r="Y46" s="11">
        <v>0</v>
      </c>
      <c r="Z46" s="11">
        <v>0</v>
      </c>
      <c r="AA46" s="11">
        <v>0</v>
      </c>
      <c r="AB46" s="11">
        <v>0</v>
      </c>
      <c r="AC46" s="11">
        <v>0</v>
      </c>
      <c r="AD46" s="11">
        <v>0</v>
      </c>
      <c r="AE46" s="12">
        <f t="shared" si="1"/>
        <v>4226224</v>
      </c>
    </row>
    <row r="47" spans="1:31" ht="12.75">
      <c r="A47" s="6" t="s">
        <v>107</v>
      </c>
      <c r="B47" s="7" t="s">
        <v>108</v>
      </c>
      <c r="C47" s="7"/>
      <c r="D47" s="8">
        <f>VLOOKUP(A47,'ACCESS alloactions'!$A$2:$B$62,2,FALSE)+17637</f>
        <v>948705.3599108281</v>
      </c>
      <c r="E47" s="9">
        <f t="shared" si="0"/>
        <v>0.35991082806140184</v>
      </c>
      <c r="F47" s="11">
        <v>0</v>
      </c>
      <c r="G47" s="11">
        <v>0</v>
      </c>
      <c r="H47" s="11">
        <v>121802</v>
      </c>
      <c r="I47" s="11">
        <v>0</v>
      </c>
      <c r="J47" s="11">
        <v>138331</v>
      </c>
      <c r="K47" s="11">
        <v>62993</v>
      </c>
      <c r="L47" s="11">
        <v>163660</v>
      </c>
      <c r="M47" s="11">
        <v>62993</v>
      </c>
      <c r="N47" s="11">
        <v>62993</v>
      </c>
      <c r="O47" s="11">
        <v>167813</v>
      </c>
      <c r="P47" s="11">
        <v>62993</v>
      </c>
      <c r="Q47" s="11">
        <v>62990</v>
      </c>
      <c r="R47" s="11">
        <v>0</v>
      </c>
      <c r="S47" s="11">
        <v>0</v>
      </c>
      <c r="T47" s="11">
        <v>42137</v>
      </c>
      <c r="U47" s="11">
        <v>0</v>
      </c>
      <c r="V47" s="11">
        <v>0</v>
      </c>
      <c r="W47" s="11">
        <v>0</v>
      </c>
      <c r="X47" s="11">
        <v>0</v>
      </c>
      <c r="Y47" s="11">
        <v>0</v>
      </c>
      <c r="Z47" s="11">
        <v>0</v>
      </c>
      <c r="AA47" s="11">
        <v>0</v>
      </c>
      <c r="AB47" s="11">
        <v>0</v>
      </c>
      <c r="AC47" s="11">
        <v>0</v>
      </c>
      <c r="AD47" s="11">
        <v>0</v>
      </c>
      <c r="AE47" s="12">
        <f t="shared" si="1"/>
        <v>948705</v>
      </c>
    </row>
    <row r="48" spans="1:31" ht="12.75">
      <c r="A48" s="6" t="s">
        <v>109</v>
      </c>
      <c r="B48" s="7" t="s">
        <v>110</v>
      </c>
      <c r="C48" s="7"/>
      <c r="D48" s="8">
        <f>VLOOKUP(A48,'ACCESS alloactions'!$A$2:$B$62,2,FALSE)+17295</f>
        <v>921814.7796161289</v>
      </c>
      <c r="E48" s="9">
        <f t="shared" si="0"/>
        <v>-0.22038387111388147</v>
      </c>
      <c r="F48" s="11">
        <v>5949</v>
      </c>
      <c r="G48" s="11">
        <v>63601</v>
      </c>
      <c r="H48" s="11">
        <v>88600</v>
      </c>
      <c r="I48" s="11">
        <v>71934</v>
      </c>
      <c r="J48" s="11">
        <v>71934</v>
      </c>
      <c r="K48" s="11">
        <v>71934</v>
      </c>
      <c r="L48" s="11">
        <v>71934</v>
      </c>
      <c r="M48" s="11">
        <v>71934</v>
      </c>
      <c r="N48" s="11">
        <v>71934</v>
      </c>
      <c r="O48" s="11">
        <v>71934</v>
      </c>
      <c r="P48" s="11">
        <v>116627</v>
      </c>
      <c r="Q48" s="11">
        <v>75994</v>
      </c>
      <c r="R48" s="11">
        <v>17295</v>
      </c>
      <c r="S48" s="11">
        <v>0</v>
      </c>
      <c r="T48" s="11">
        <v>50211</v>
      </c>
      <c r="U48" s="11">
        <v>0</v>
      </c>
      <c r="V48" s="11">
        <v>0</v>
      </c>
      <c r="W48" s="11">
        <v>0</v>
      </c>
      <c r="X48" s="11">
        <v>0</v>
      </c>
      <c r="Y48" s="11">
        <v>0</v>
      </c>
      <c r="Z48" s="11">
        <v>0</v>
      </c>
      <c r="AA48" s="11">
        <v>0</v>
      </c>
      <c r="AB48" s="11">
        <v>0</v>
      </c>
      <c r="AC48" s="11">
        <v>0</v>
      </c>
      <c r="AD48" s="11">
        <v>0</v>
      </c>
      <c r="AE48" s="12">
        <f t="shared" si="1"/>
        <v>921815</v>
      </c>
    </row>
    <row r="49" spans="1:31" ht="12.75">
      <c r="A49" s="6" t="s">
        <v>111</v>
      </c>
      <c r="B49" s="7" t="s">
        <v>112</v>
      </c>
      <c r="C49" s="7"/>
      <c r="D49" s="8">
        <v>955683</v>
      </c>
      <c r="E49" s="9">
        <f t="shared" si="0"/>
        <v>0</v>
      </c>
      <c r="F49" s="11">
        <v>0</v>
      </c>
      <c r="G49" s="11">
        <v>0</v>
      </c>
      <c r="H49" s="11">
        <v>0</v>
      </c>
      <c r="I49" s="11">
        <v>208572</v>
      </c>
      <c r="J49" s="11">
        <v>0</v>
      </c>
      <c r="K49" s="11">
        <v>0</v>
      </c>
      <c r="L49" s="11">
        <v>107784</v>
      </c>
      <c r="M49" s="11">
        <v>64996</v>
      </c>
      <c r="N49" s="11">
        <v>64996</v>
      </c>
      <c r="O49" s="11">
        <v>64996</v>
      </c>
      <c r="P49" s="11">
        <v>0</v>
      </c>
      <c r="Q49" s="11">
        <f>214069+72639</f>
        <v>286708</v>
      </c>
      <c r="R49" s="11">
        <v>0</v>
      </c>
      <c r="S49" s="11">
        <v>0</v>
      </c>
      <c r="T49" s="11">
        <v>152722</v>
      </c>
      <c r="U49" s="11">
        <v>4909</v>
      </c>
      <c r="V49" s="11">
        <v>0</v>
      </c>
      <c r="W49" s="11">
        <v>0</v>
      </c>
      <c r="X49" s="11">
        <v>0</v>
      </c>
      <c r="Y49" s="11">
        <v>0</v>
      </c>
      <c r="Z49" s="11">
        <v>0</v>
      </c>
      <c r="AA49" s="11">
        <v>0</v>
      </c>
      <c r="AB49" s="11">
        <v>0</v>
      </c>
      <c r="AC49" s="11">
        <v>0</v>
      </c>
      <c r="AD49" s="11">
        <v>0</v>
      </c>
      <c r="AE49" s="12">
        <f t="shared" si="1"/>
        <v>955683</v>
      </c>
    </row>
    <row r="50" spans="1:31" ht="12.75">
      <c r="A50" s="6" t="s">
        <v>113</v>
      </c>
      <c r="B50" s="7" t="s">
        <v>114</v>
      </c>
      <c r="C50" s="7"/>
      <c r="D50" s="8">
        <f>VLOOKUP(A50,'ACCESS alloactions'!$A$2:$B$62,2,FALSE)+45767</f>
        <v>2267443.4822537075</v>
      </c>
      <c r="E50" s="9">
        <f t="shared" si="0"/>
        <v>0.48225370747968554</v>
      </c>
      <c r="F50" s="11">
        <v>0</v>
      </c>
      <c r="G50" s="11">
        <v>0</v>
      </c>
      <c r="H50" s="11">
        <v>0</v>
      </c>
      <c r="I50" s="11">
        <v>0</v>
      </c>
      <c r="J50" s="11">
        <v>241748</v>
      </c>
      <c r="K50" s="11">
        <v>172171</v>
      </c>
      <c r="L50" s="11">
        <v>172171</v>
      </c>
      <c r="M50" s="11">
        <v>172171</v>
      </c>
      <c r="N50" s="11">
        <v>322711</v>
      </c>
      <c r="O50" s="11">
        <v>174973</v>
      </c>
      <c r="P50" s="11">
        <v>174973</v>
      </c>
      <c r="Q50" s="11">
        <v>197394</v>
      </c>
      <c r="R50" s="11">
        <v>0</v>
      </c>
      <c r="S50" s="11">
        <v>0</v>
      </c>
      <c r="T50" s="11">
        <v>0</v>
      </c>
      <c r="U50" s="11">
        <f>32447+169301</f>
        <v>201748</v>
      </c>
      <c r="V50" s="11">
        <v>169301</v>
      </c>
      <c r="W50" s="11">
        <v>268082</v>
      </c>
      <c r="X50" s="11">
        <v>0</v>
      </c>
      <c r="Y50" s="11">
        <v>0</v>
      </c>
      <c r="Z50" s="11">
        <v>0</v>
      </c>
      <c r="AA50" s="11">
        <v>0</v>
      </c>
      <c r="AB50" s="11">
        <v>0</v>
      </c>
      <c r="AC50" s="11">
        <v>0</v>
      </c>
      <c r="AD50" s="11">
        <v>0</v>
      </c>
      <c r="AE50" s="12">
        <f t="shared" si="1"/>
        <v>2267443</v>
      </c>
    </row>
    <row r="51" spans="1:31" ht="12.75">
      <c r="A51" s="6" t="s">
        <v>115</v>
      </c>
      <c r="B51" s="7" t="s">
        <v>116</v>
      </c>
      <c r="C51" s="7"/>
      <c r="D51" s="8">
        <f>VLOOKUP(A51,'ACCESS alloactions'!$A$2:$B$62,2,FALSE)+30671</f>
        <v>1487977.9494524354</v>
      </c>
      <c r="E51" s="9">
        <f t="shared" si="0"/>
        <v>-0.05054756463505328</v>
      </c>
      <c r="F51" s="11">
        <v>0</v>
      </c>
      <c r="G51" s="11">
        <v>0</v>
      </c>
      <c r="H51" s="11">
        <v>0</v>
      </c>
      <c r="I51" s="11">
        <v>0</v>
      </c>
      <c r="J51" s="11">
        <v>0</v>
      </c>
      <c r="K51" s="11">
        <v>0</v>
      </c>
      <c r="L51" s="11">
        <v>7334</v>
      </c>
      <c r="M51" s="11">
        <v>77732</v>
      </c>
      <c r="N51" s="11">
        <v>77732</v>
      </c>
      <c r="O51" s="11">
        <v>192046</v>
      </c>
      <c r="P51" s="11">
        <v>80843</v>
      </c>
      <c r="Q51" s="11">
        <v>80843</v>
      </c>
      <c r="R51" s="11">
        <v>0</v>
      </c>
      <c r="S51" s="11">
        <v>0</v>
      </c>
      <c r="T51" s="11">
        <v>0</v>
      </c>
      <c r="U51" s="11">
        <v>0</v>
      </c>
      <c r="V51" s="11">
        <v>13228</v>
      </c>
      <c r="W51" s="11">
        <v>95471</v>
      </c>
      <c r="X51" s="11">
        <v>249017</v>
      </c>
      <c r="Y51" s="11">
        <v>274751</v>
      </c>
      <c r="Z51" s="11">
        <v>117881</v>
      </c>
      <c r="AA51" s="11">
        <v>166131</v>
      </c>
      <c r="AB51" s="11">
        <v>54969</v>
      </c>
      <c r="AC51" s="11">
        <v>0</v>
      </c>
      <c r="AD51" s="11">
        <v>0</v>
      </c>
      <c r="AE51" s="12">
        <f t="shared" si="1"/>
        <v>1487978</v>
      </c>
    </row>
    <row r="52" spans="1:31" ht="12.75">
      <c r="A52" s="6" t="s">
        <v>117</v>
      </c>
      <c r="B52" s="7" t="s">
        <v>118</v>
      </c>
      <c r="C52" s="7"/>
      <c r="D52" s="8">
        <f>VLOOKUP(A52,'ACCESS alloactions'!$A$2:$B$62,2,FALSE)+13133</f>
        <v>736861.6866697606</v>
      </c>
      <c r="E52" s="9">
        <f t="shared" si="0"/>
        <v>-0.3133302393835038</v>
      </c>
      <c r="F52" s="11">
        <v>0</v>
      </c>
      <c r="G52" s="11">
        <v>0</v>
      </c>
      <c r="H52" s="11">
        <v>0</v>
      </c>
      <c r="I52" s="11">
        <v>0</v>
      </c>
      <c r="J52" s="11">
        <v>0</v>
      </c>
      <c r="K52" s="11">
        <v>0</v>
      </c>
      <c r="L52" s="11">
        <v>302485</v>
      </c>
      <c r="M52" s="11">
        <v>76684</v>
      </c>
      <c r="N52" s="11">
        <v>54851</v>
      </c>
      <c r="O52" s="11">
        <v>81968</v>
      </c>
      <c r="P52" s="11">
        <v>57970</v>
      </c>
      <c r="Q52" s="11">
        <v>86044</v>
      </c>
      <c r="R52" s="11">
        <v>0</v>
      </c>
      <c r="S52" s="11">
        <v>0</v>
      </c>
      <c r="T52" s="11">
        <v>30777</v>
      </c>
      <c r="U52" s="11">
        <v>46083</v>
      </c>
      <c r="V52" s="11">
        <v>0</v>
      </c>
      <c r="W52" s="11">
        <v>0</v>
      </c>
      <c r="X52" s="11">
        <v>0</v>
      </c>
      <c r="Y52" s="11">
        <v>0</v>
      </c>
      <c r="Z52" s="11">
        <v>0</v>
      </c>
      <c r="AA52" s="11">
        <v>0</v>
      </c>
      <c r="AB52" s="11">
        <v>0</v>
      </c>
      <c r="AC52" s="11">
        <v>0</v>
      </c>
      <c r="AD52" s="11">
        <v>0</v>
      </c>
      <c r="AE52" s="12">
        <f t="shared" si="1"/>
        <v>736862</v>
      </c>
    </row>
    <row r="53" spans="1:31" ht="12.75">
      <c r="A53" s="6" t="s">
        <v>119</v>
      </c>
      <c r="B53" s="7" t="s">
        <v>120</v>
      </c>
      <c r="C53" s="7"/>
      <c r="D53" s="8">
        <f>VLOOKUP(A53,'ACCESS alloactions'!$A$2:$B$62,2,FALSE)+19300</f>
        <v>980910.6457004581</v>
      </c>
      <c r="E53" s="9">
        <f t="shared" si="0"/>
        <v>-0.3542995419120416</v>
      </c>
      <c r="F53" s="11">
        <v>0</v>
      </c>
      <c r="G53" s="11">
        <v>0</v>
      </c>
      <c r="H53" s="11">
        <v>0</v>
      </c>
      <c r="I53" s="11">
        <v>0</v>
      </c>
      <c r="J53" s="11">
        <v>0</v>
      </c>
      <c r="K53" s="11">
        <v>0</v>
      </c>
      <c r="L53" s="11">
        <v>64630</v>
      </c>
      <c r="M53" s="11">
        <v>40613</v>
      </c>
      <c r="N53" s="11">
        <v>40613</v>
      </c>
      <c r="O53" s="11">
        <v>40613</v>
      </c>
      <c r="P53" s="11">
        <v>50813</v>
      </c>
      <c r="Q53" s="11">
        <v>152810</v>
      </c>
      <c r="R53" s="11">
        <v>0</v>
      </c>
      <c r="S53" s="11">
        <v>0</v>
      </c>
      <c r="T53" s="11">
        <v>115167</v>
      </c>
      <c r="U53" s="11">
        <v>147315</v>
      </c>
      <c r="V53" s="11">
        <v>113964</v>
      </c>
      <c r="W53" s="11">
        <v>113964</v>
      </c>
      <c r="X53" s="11">
        <v>100409</v>
      </c>
      <c r="Y53" s="11">
        <v>0</v>
      </c>
      <c r="Z53" s="11">
        <v>0</v>
      </c>
      <c r="AA53" s="11">
        <v>0</v>
      </c>
      <c r="AB53" s="11">
        <v>0</v>
      </c>
      <c r="AC53" s="11">
        <v>0</v>
      </c>
      <c r="AD53" s="11">
        <v>0</v>
      </c>
      <c r="AE53" s="12">
        <f t="shared" si="1"/>
        <v>980911</v>
      </c>
    </row>
    <row r="54" spans="1:31" ht="12.75">
      <c r="A54" s="6" t="s">
        <v>121</v>
      </c>
      <c r="B54" s="7" t="s">
        <v>122</v>
      </c>
      <c r="C54" s="7"/>
      <c r="D54" s="8">
        <f>VLOOKUP(A54,'ACCESS alloactions'!$A$2:$B$62,2,FALSE)+14491</f>
        <v>776608.3183104071</v>
      </c>
      <c r="E54" s="9">
        <f t="shared" si="0"/>
        <v>0.3183104071067646</v>
      </c>
      <c r="F54" s="11">
        <v>0</v>
      </c>
      <c r="G54" s="11">
        <v>0</v>
      </c>
      <c r="H54" s="11">
        <v>0</v>
      </c>
      <c r="I54" s="11">
        <v>0</v>
      </c>
      <c r="J54" s="11">
        <v>190591</v>
      </c>
      <c r="K54" s="11">
        <v>98331</v>
      </c>
      <c r="L54" s="11">
        <v>65061</v>
      </c>
      <c r="M54" s="11">
        <v>65061</v>
      </c>
      <c r="N54" s="11">
        <v>65061</v>
      </c>
      <c r="O54" s="11">
        <v>65061</v>
      </c>
      <c r="P54" s="11">
        <v>65061</v>
      </c>
      <c r="Q54" s="11">
        <v>65063</v>
      </c>
      <c r="R54" s="11">
        <v>0</v>
      </c>
      <c r="S54" s="11">
        <v>0</v>
      </c>
      <c r="T54" s="11">
        <v>64273</v>
      </c>
      <c r="U54" s="11">
        <v>33045</v>
      </c>
      <c r="V54" s="11">
        <v>0</v>
      </c>
      <c r="W54" s="11">
        <v>0</v>
      </c>
      <c r="X54" s="11">
        <v>0</v>
      </c>
      <c r="Y54" s="11">
        <v>0</v>
      </c>
      <c r="Z54" s="11">
        <v>0</v>
      </c>
      <c r="AA54" s="11">
        <v>0</v>
      </c>
      <c r="AB54" s="11">
        <v>0</v>
      </c>
      <c r="AC54" s="11">
        <v>0</v>
      </c>
      <c r="AD54" s="11">
        <v>0</v>
      </c>
      <c r="AE54" s="12">
        <f t="shared" si="1"/>
        <v>776608</v>
      </c>
    </row>
    <row r="55" spans="1:31" ht="12.75">
      <c r="A55" s="6" t="s">
        <v>123</v>
      </c>
      <c r="B55" s="7" t="s">
        <v>124</v>
      </c>
      <c r="C55" s="7"/>
      <c r="D55" s="8">
        <f>VLOOKUP(A55,'ACCESS alloactions'!$A$2:$B$62,2,FALSE)+6081</f>
        <v>299107.7523442165</v>
      </c>
      <c r="E55" s="9">
        <f t="shared" si="0"/>
        <v>-0.24765578348888084</v>
      </c>
      <c r="F55" s="11">
        <v>0</v>
      </c>
      <c r="G55" s="11">
        <v>0</v>
      </c>
      <c r="H55" s="11">
        <v>1432</v>
      </c>
      <c r="I55" s="11">
        <v>12178</v>
      </c>
      <c r="J55" s="11">
        <v>50300</v>
      </c>
      <c r="K55" s="11">
        <v>12178</v>
      </c>
      <c r="L55" s="11">
        <v>12178</v>
      </c>
      <c r="M55" s="11">
        <v>12178</v>
      </c>
      <c r="N55" s="11">
        <v>12178</v>
      </c>
      <c r="O55" s="11">
        <v>12178</v>
      </c>
      <c r="P55" s="11">
        <v>65578</v>
      </c>
      <c r="Q55" s="11">
        <v>66005</v>
      </c>
      <c r="R55" s="11">
        <v>10334</v>
      </c>
      <c r="S55" s="11">
        <v>10334</v>
      </c>
      <c r="T55" s="11">
        <v>10334</v>
      </c>
      <c r="U55" s="11">
        <v>11723</v>
      </c>
      <c r="V55" s="11">
        <v>0</v>
      </c>
      <c r="W55" s="11">
        <v>0</v>
      </c>
      <c r="X55" s="11">
        <v>0</v>
      </c>
      <c r="Y55" s="11">
        <v>0</v>
      </c>
      <c r="Z55" s="11">
        <v>0</v>
      </c>
      <c r="AA55" s="11">
        <v>0</v>
      </c>
      <c r="AB55" s="11">
        <v>0</v>
      </c>
      <c r="AC55" s="11">
        <v>0</v>
      </c>
      <c r="AD55" s="11">
        <v>0</v>
      </c>
      <c r="AE55" s="12">
        <f t="shared" si="1"/>
        <v>299108</v>
      </c>
    </row>
    <row r="56" spans="1:31" ht="12.75">
      <c r="A56" s="6" t="s">
        <v>125</v>
      </c>
      <c r="B56" s="7" t="s">
        <v>126</v>
      </c>
      <c r="C56" s="7"/>
      <c r="D56" s="8">
        <f>VLOOKUP(A56,'ACCESS alloactions'!$A$2:$B$62,2,FALSE)+28994</f>
        <v>1378678.5654284877</v>
      </c>
      <c r="E56" s="9">
        <f t="shared" si="0"/>
        <v>-0.43457151227630675</v>
      </c>
      <c r="F56" s="11">
        <v>0</v>
      </c>
      <c r="G56" s="11">
        <v>0</v>
      </c>
      <c r="H56" s="11">
        <v>0</v>
      </c>
      <c r="I56" s="11">
        <v>0</v>
      </c>
      <c r="J56" s="11">
        <v>357388</v>
      </c>
      <c r="K56" s="11">
        <v>119616</v>
      </c>
      <c r="L56" s="11">
        <v>156852</v>
      </c>
      <c r="M56" s="11">
        <v>119616</v>
      </c>
      <c r="N56" s="11">
        <v>119616</v>
      </c>
      <c r="O56" s="11">
        <v>119616</v>
      </c>
      <c r="P56" s="11">
        <v>119616</v>
      </c>
      <c r="Q56" s="11">
        <v>119620</v>
      </c>
      <c r="R56" s="11">
        <v>0</v>
      </c>
      <c r="S56" s="11">
        <v>0</v>
      </c>
      <c r="T56" s="11">
        <v>0</v>
      </c>
      <c r="U56" s="11">
        <v>70125</v>
      </c>
      <c r="V56" s="11">
        <v>76614</v>
      </c>
      <c r="W56" s="11">
        <v>0</v>
      </c>
      <c r="X56" s="11">
        <v>0</v>
      </c>
      <c r="Y56" s="11">
        <v>0</v>
      </c>
      <c r="Z56" s="11">
        <v>0</v>
      </c>
      <c r="AA56" s="11">
        <v>0</v>
      </c>
      <c r="AB56" s="11">
        <v>0</v>
      </c>
      <c r="AC56" s="11">
        <v>0</v>
      </c>
      <c r="AD56" s="11">
        <v>0</v>
      </c>
      <c r="AE56" s="12">
        <f t="shared" si="1"/>
        <v>1378679</v>
      </c>
    </row>
    <row r="57" spans="1:31" ht="12.75">
      <c r="A57" s="6" t="s">
        <v>127</v>
      </c>
      <c r="B57" s="7" t="s">
        <v>128</v>
      </c>
      <c r="C57" s="7"/>
      <c r="D57" s="8">
        <f>VLOOKUP(A57,'ACCESS alloactions'!$A$2:$B$62,2,FALSE)+15952</f>
        <v>817117.2035211623</v>
      </c>
      <c r="E57" s="9">
        <f t="shared" si="0"/>
        <v>0.20352116227149963</v>
      </c>
      <c r="F57" s="11">
        <v>0</v>
      </c>
      <c r="G57" s="11">
        <v>0</v>
      </c>
      <c r="H57" s="11">
        <v>0</v>
      </c>
      <c r="I57" s="11">
        <v>0</v>
      </c>
      <c r="J57" s="11">
        <v>0</v>
      </c>
      <c r="K57" s="11">
        <v>0</v>
      </c>
      <c r="L57" s="11">
        <v>276256</v>
      </c>
      <c r="M57" s="11">
        <v>49915</v>
      </c>
      <c r="N57" s="11">
        <v>49915</v>
      </c>
      <c r="O57" s="11">
        <v>108602</v>
      </c>
      <c r="P57" s="11">
        <v>55784</v>
      </c>
      <c r="Q57" s="11">
        <v>55784</v>
      </c>
      <c r="R57" s="11">
        <v>0</v>
      </c>
      <c r="S57" s="11">
        <v>0</v>
      </c>
      <c r="T57" s="11">
        <v>0</v>
      </c>
      <c r="U57" s="11">
        <v>65038</v>
      </c>
      <c r="V57" s="11">
        <v>65038</v>
      </c>
      <c r="W57" s="11">
        <v>65038</v>
      </c>
      <c r="X57" s="11">
        <v>25747</v>
      </c>
      <c r="Y57" s="11">
        <v>0</v>
      </c>
      <c r="Z57" s="11">
        <v>0</v>
      </c>
      <c r="AA57" s="11">
        <v>0</v>
      </c>
      <c r="AB57" s="11">
        <v>0</v>
      </c>
      <c r="AC57" s="11">
        <v>0</v>
      </c>
      <c r="AD57" s="11">
        <v>0</v>
      </c>
      <c r="AE57" s="12">
        <f t="shared" si="1"/>
        <v>817117</v>
      </c>
    </row>
    <row r="58" spans="1:31" ht="12.75">
      <c r="A58" s="6" t="s">
        <v>129</v>
      </c>
      <c r="B58" s="7" t="s">
        <v>130</v>
      </c>
      <c r="C58" s="7"/>
      <c r="D58" s="8">
        <f>VLOOKUP(A58,'ACCESS alloactions'!$A$2:$B$62,2,FALSE)+3740</f>
        <v>218853.74701136223</v>
      </c>
      <c r="E58" s="9">
        <f t="shared" si="0"/>
        <v>-0.2529886377742514</v>
      </c>
      <c r="F58" s="11">
        <v>0</v>
      </c>
      <c r="G58" s="11">
        <v>0</v>
      </c>
      <c r="H58" s="11">
        <v>0</v>
      </c>
      <c r="I58" s="11">
        <v>0</v>
      </c>
      <c r="J58" s="11">
        <v>0</v>
      </c>
      <c r="K58" s="11">
        <v>0</v>
      </c>
      <c r="L58" s="11">
        <v>60405</v>
      </c>
      <c r="M58" s="11">
        <v>11147</v>
      </c>
      <c r="N58" s="11">
        <v>11147</v>
      </c>
      <c r="O58" s="11">
        <v>11147</v>
      </c>
      <c r="P58" s="11">
        <v>11147</v>
      </c>
      <c r="Q58" s="11">
        <v>45751</v>
      </c>
      <c r="R58" s="11">
        <v>0</v>
      </c>
      <c r="S58" s="11">
        <v>0</v>
      </c>
      <c r="T58" s="11">
        <v>13231</v>
      </c>
      <c r="U58" s="11">
        <v>9108</v>
      </c>
      <c r="V58" s="11">
        <v>9108</v>
      </c>
      <c r="W58" s="11">
        <v>9108</v>
      </c>
      <c r="X58" s="11">
        <v>9108</v>
      </c>
      <c r="Y58" s="11">
        <v>7300</v>
      </c>
      <c r="Z58" s="11">
        <v>6696</v>
      </c>
      <c r="AA58" s="11">
        <v>4451</v>
      </c>
      <c r="AB58" s="11">
        <v>0</v>
      </c>
      <c r="AC58" s="11">
        <v>0</v>
      </c>
      <c r="AD58" s="11">
        <v>0</v>
      </c>
      <c r="AE58" s="12">
        <f t="shared" si="1"/>
        <v>218854</v>
      </c>
    </row>
    <row r="59" spans="1:31" ht="12.75">
      <c r="A59" s="20" t="s">
        <v>134</v>
      </c>
      <c r="B59" s="13" t="s">
        <v>131</v>
      </c>
      <c r="C59" s="14"/>
      <c r="D59" s="8">
        <f>VLOOKUP(A59,'ACCESS alloactions'!$A$2:$B$62,2,FALSE)+696</f>
        <v>141797.5335659521</v>
      </c>
      <c r="E59" s="9">
        <f t="shared" si="0"/>
        <v>0.08356595208169892</v>
      </c>
      <c r="F59" s="11">
        <v>0</v>
      </c>
      <c r="G59" s="11">
        <v>0</v>
      </c>
      <c r="H59" s="11">
        <v>0</v>
      </c>
      <c r="I59" s="11">
        <v>0</v>
      </c>
      <c r="J59" s="11">
        <v>0</v>
      </c>
      <c r="K59" s="11">
        <v>0</v>
      </c>
      <c r="L59" s="11">
        <v>0</v>
      </c>
      <c r="M59" s="11">
        <v>0</v>
      </c>
      <c r="N59" s="11">
        <v>0</v>
      </c>
      <c r="O59" s="11">
        <v>0</v>
      </c>
      <c r="P59" s="11">
        <v>0</v>
      </c>
      <c r="Q59" s="11">
        <v>0</v>
      </c>
      <c r="R59" s="11">
        <v>0</v>
      </c>
      <c r="S59" s="11">
        <v>40753</v>
      </c>
      <c r="T59" s="11">
        <v>0</v>
      </c>
      <c r="U59" s="11">
        <v>0</v>
      </c>
      <c r="V59" s="11">
        <v>0</v>
      </c>
      <c r="W59" s="11">
        <v>0</v>
      </c>
      <c r="X59" s="11">
        <v>0</v>
      </c>
      <c r="Y59" s="11">
        <v>0</v>
      </c>
      <c r="Z59" s="11">
        <v>0</v>
      </c>
      <c r="AA59" s="11">
        <v>0</v>
      </c>
      <c r="AB59" s="11">
        <v>0</v>
      </c>
      <c r="AC59" s="11">
        <v>0</v>
      </c>
      <c r="AD59" s="11">
        <v>101044.45</v>
      </c>
      <c r="AE59" s="12">
        <f t="shared" si="1"/>
        <v>141797.45</v>
      </c>
    </row>
    <row r="60" spans="1:31" ht="12.75">
      <c r="A60" s="20" t="s">
        <v>135</v>
      </c>
      <c r="B60" s="13" t="s">
        <v>157</v>
      </c>
      <c r="C60" s="14"/>
      <c r="D60" s="8">
        <f>VLOOKUP(A60,'ACCESS alloactions'!$A$2:$B$62,2,FALSE)+28</f>
        <v>14443.498474755093</v>
      </c>
      <c r="E60" s="9">
        <f t="shared" si="0"/>
        <v>0.49847475509341166</v>
      </c>
      <c r="F60" s="11">
        <v>0</v>
      </c>
      <c r="G60" s="11">
        <v>0</v>
      </c>
      <c r="H60" s="11">
        <v>0</v>
      </c>
      <c r="I60" s="11">
        <v>0</v>
      </c>
      <c r="J60" s="11">
        <v>0</v>
      </c>
      <c r="K60" s="11">
        <v>0</v>
      </c>
      <c r="L60" s="11">
        <v>0</v>
      </c>
      <c r="M60" s="11">
        <v>14415</v>
      </c>
      <c r="N60" s="11">
        <v>0</v>
      </c>
      <c r="O60" s="11">
        <v>0</v>
      </c>
      <c r="P60" s="11">
        <v>0</v>
      </c>
      <c r="Q60" s="11">
        <v>0</v>
      </c>
      <c r="R60" s="11">
        <v>0</v>
      </c>
      <c r="S60" s="11">
        <v>0</v>
      </c>
      <c r="T60" s="11">
        <v>0</v>
      </c>
      <c r="U60" s="11">
        <v>0</v>
      </c>
      <c r="V60" s="11">
        <v>0</v>
      </c>
      <c r="W60" s="11">
        <v>0</v>
      </c>
      <c r="X60" s="11">
        <v>28</v>
      </c>
      <c r="Y60" s="11">
        <v>0</v>
      </c>
      <c r="Z60" s="11">
        <v>0</v>
      </c>
      <c r="AA60" s="11">
        <v>0</v>
      </c>
      <c r="AB60" s="11">
        <v>0</v>
      </c>
      <c r="AC60" s="11">
        <v>0</v>
      </c>
      <c r="AD60" s="11">
        <v>0</v>
      </c>
      <c r="AE60" s="12">
        <f t="shared" si="1"/>
        <v>14443</v>
      </c>
    </row>
    <row r="61" spans="1:31" ht="12.75">
      <c r="A61" s="20" t="s">
        <v>136</v>
      </c>
      <c r="B61" s="13" t="s">
        <v>158</v>
      </c>
      <c r="C61" s="14"/>
      <c r="D61" s="8">
        <f>VLOOKUP(A61,'ACCESS alloactions'!$A$2:$B$62,2,FALSE)+1838</f>
        <v>77209.19065628706</v>
      </c>
      <c r="E61" s="9">
        <f t="shared" si="0"/>
        <v>0.19065628705720883</v>
      </c>
      <c r="F61" s="11">
        <v>0</v>
      </c>
      <c r="G61" s="11">
        <v>0</v>
      </c>
      <c r="H61" s="11">
        <v>0</v>
      </c>
      <c r="I61" s="11">
        <v>0</v>
      </c>
      <c r="J61" s="11">
        <v>0</v>
      </c>
      <c r="K61" s="11">
        <v>0</v>
      </c>
      <c r="L61" s="11">
        <v>0</v>
      </c>
      <c r="M61" s="11">
        <v>0</v>
      </c>
      <c r="N61" s="11">
        <v>0</v>
      </c>
      <c r="O61" s="11">
        <v>0</v>
      </c>
      <c r="P61" s="11">
        <v>0</v>
      </c>
      <c r="Q61" s="11">
        <v>0</v>
      </c>
      <c r="R61" s="11">
        <v>0</v>
      </c>
      <c r="S61" s="11">
        <v>0</v>
      </c>
      <c r="T61" s="11">
        <v>763</v>
      </c>
      <c r="U61" s="11">
        <v>0</v>
      </c>
      <c r="V61" s="11">
        <v>0</v>
      </c>
      <c r="W61" s="11">
        <v>0</v>
      </c>
      <c r="X61" s="11">
        <v>0</v>
      </c>
      <c r="Y61" s="11">
        <v>0</v>
      </c>
      <c r="Z61" s="11">
        <v>0</v>
      </c>
      <c r="AA61" s="11">
        <v>56839</v>
      </c>
      <c r="AB61" s="11">
        <v>0</v>
      </c>
      <c r="AC61" s="11">
        <v>19607</v>
      </c>
      <c r="AD61" s="11">
        <v>0</v>
      </c>
      <c r="AE61" s="12">
        <f t="shared" si="1"/>
        <v>77209</v>
      </c>
    </row>
    <row r="62" spans="1:31" ht="12.75">
      <c r="A62" s="20" t="s">
        <v>137</v>
      </c>
      <c r="B62" s="13" t="s">
        <v>159</v>
      </c>
      <c r="C62" s="14"/>
      <c r="D62" s="8">
        <f>VLOOKUP(A62,'ACCESS alloactions'!$A$2:$B$62,2,FALSE)+1727</f>
        <v>154372.1142462078</v>
      </c>
      <c r="E62" s="9">
        <f t="shared" si="0"/>
        <v>0.11424620781326666</v>
      </c>
      <c r="F62" s="11">
        <v>0</v>
      </c>
      <c r="G62" s="11">
        <v>0</v>
      </c>
      <c r="H62" s="11">
        <v>0</v>
      </c>
      <c r="I62" s="11">
        <v>0</v>
      </c>
      <c r="J62" s="11">
        <v>0</v>
      </c>
      <c r="K62" s="11">
        <v>0</v>
      </c>
      <c r="L62" s="11">
        <v>0</v>
      </c>
      <c r="M62" s="11">
        <v>0</v>
      </c>
      <c r="N62" s="11">
        <v>0</v>
      </c>
      <c r="O62" s="11">
        <v>0</v>
      </c>
      <c r="P62" s="11">
        <v>0</v>
      </c>
      <c r="Q62" s="11">
        <v>0</v>
      </c>
      <c r="R62" s="11">
        <v>0</v>
      </c>
      <c r="S62" s="11">
        <v>32816</v>
      </c>
      <c r="T62" s="11">
        <v>33445</v>
      </c>
      <c r="U62" s="11">
        <v>0</v>
      </c>
      <c r="V62" s="27">
        <v>28549</v>
      </c>
      <c r="W62" s="11">
        <v>0</v>
      </c>
      <c r="X62" s="11">
        <v>46953</v>
      </c>
      <c r="Y62" s="11">
        <v>0</v>
      </c>
      <c r="Z62" s="11">
        <v>0</v>
      </c>
      <c r="AA62" s="11">
        <v>0</v>
      </c>
      <c r="AB62" s="11">
        <v>12609</v>
      </c>
      <c r="AC62" s="11">
        <v>0</v>
      </c>
      <c r="AD62" s="11">
        <v>0</v>
      </c>
      <c r="AE62" s="12">
        <f t="shared" si="1"/>
        <v>154372</v>
      </c>
    </row>
    <row r="63" spans="1:31" ht="13.5" thickBot="1">
      <c r="A63" s="15" t="s">
        <v>132</v>
      </c>
      <c r="B63" s="7" t="s">
        <v>133</v>
      </c>
      <c r="C63" s="7"/>
      <c r="D63" s="8">
        <f>VLOOKUP(A63,'ACCESS alloactions'!$A$2:$B$62,2,FALSE)+26421</f>
        <v>962762.8587628311</v>
      </c>
      <c r="E63" s="9">
        <f t="shared" si="0"/>
        <v>-0.14123716892208904</v>
      </c>
      <c r="F63" s="11">
        <v>0</v>
      </c>
      <c r="G63" s="11">
        <v>0</v>
      </c>
      <c r="H63" s="11">
        <v>0</v>
      </c>
      <c r="I63" s="11">
        <v>0</v>
      </c>
      <c r="J63" s="11">
        <v>0</v>
      </c>
      <c r="K63" s="11">
        <v>0</v>
      </c>
      <c r="L63" s="11">
        <v>0</v>
      </c>
      <c r="M63" s="11">
        <v>0</v>
      </c>
      <c r="N63" s="11">
        <v>0</v>
      </c>
      <c r="O63" s="11">
        <v>540718</v>
      </c>
      <c r="P63" s="11">
        <v>0</v>
      </c>
      <c r="Q63" s="11">
        <v>0</v>
      </c>
      <c r="R63" s="11">
        <v>0</v>
      </c>
      <c r="S63" s="11">
        <v>0</v>
      </c>
      <c r="T63" s="11">
        <v>0</v>
      </c>
      <c r="U63" s="11">
        <v>179092</v>
      </c>
      <c r="V63" s="11">
        <v>0</v>
      </c>
      <c r="W63" s="11">
        <v>242953</v>
      </c>
      <c r="X63" s="11">
        <v>0</v>
      </c>
      <c r="Y63" s="11">
        <v>0</v>
      </c>
      <c r="Z63" s="11">
        <v>0</v>
      </c>
      <c r="AA63" s="11">
        <v>0</v>
      </c>
      <c r="AB63" s="11">
        <v>0</v>
      </c>
      <c r="AC63" s="11">
        <v>0</v>
      </c>
      <c r="AD63" s="11">
        <v>0</v>
      </c>
      <c r="AE63" s="12">
        <f t="shared" si="1"/>
        <v>962763</v>
      </c>
    </row>
    <row r="64" spans="4:31" ht="13.5" thickBot="1">
      <c r="D64" s="16">
        <f>SUM(D4:D63)-1</f>
        <v>140460332.89311004</v>
      </c>
      <c r="E64" s="16">
        <f>SUM(E4:E63)-1</f>
        <v>0.4431100495148712</v>
      </c>
      <c r="F64" s="17">
        <f aca="true" t="shared" si="2" ref="F64:AD64">SUM(F4:F63)</f>
        <v>5949</v>
      </c>
      <c r="G64" s="17">
        <f t="shared" si="2"/>
        <v>194204</v>
      </c>
      <c r="H64" s="17">
        <f t="shared" si="2"/>
        <v>1678434</v>
      </c>
      <c r="I64" s="17">
        <f t="shared" si="2"/>
        <v>1183593</v>
      </c>
      <c r="J64" s="17">
        <f t="shared" si="2"/>
        <v>7925563</v>
      </c>
      <c r="K64" s="17">
        <f t="shared" si="2"/>
        <v>5367372</v>
      </c>
      <c r="L64" s="17">
        <f t="shared" si="2"/>
        <v>16011410</v>
      </c>
      <c r="M64" s="17">
        <f t="shared" si="2"/>
        <v>14044065</v>
      </c>
      <c r="N64" s="17">
        <f t="shared" si="2"/>
        <v>10080456</v>
      </c>
      <c r="O64" s="17">
        <f t="shared" si="2"/>
        <v>9390101</v>
      </c>
      <c r="P64" s="17">
        <f t="shared" si="2"/>
        <v>11016647</v>
      </c>
      <c r="Q64" s="17">
        <f t="shared" si="2"/>
        <v>8743848</v>
      </c>
      <c r="R64" s="17">
        <f t="shared" si="2"/>
        <v>680831</v>
      </c>
      <c r="S64" s="17">
        <f t="shared" si="2"/>
        <v>132115</v>
      </c>
      <c r="T64" s="17">
        <f>SUM(T4:T63)</f>
        <v>4891944</v>
      </c>
      <c r="U64" s="17">
        <f>SUM(U4:U63)</f>
        <v>10586620</v>
      </c>
      <c r="V64" s="26">
        <f t="shared" si="2"/>
        <v>8506534</v>
      </c>
      <c r="W64" s="17">
        <f t="shared" si="2"/>
        <v>7121990</v>
      </c>
      <c r="X64" s="17">
        <f t="shared" si="2"/>
        <v>5858507</v>
      </c>
      <c r="Y64" s="17">
        <f t="shared" si="2"/>
        <v>7926383</v>
      </c>
      <c r="Z64" s="17">
        <f t="shared" si="2"/>
        <v>2871989</v>
      </c>
      <c r="AA64" s="17">
        <f t="shared" si="2"/>
        <v>2182997</v>
      </c>
      <c r="AB64" s="17">
        <f t="shared" si="2"/>
        <v>3820620</v>
      </c>
      <c r="AC64" s="17">
        <f t="shared" si="2"/>
        <v>137116</v>
      </c>
      <c r="AD64" s="17">
        <f t="shared" si="2"/>
        <v>101044.45</v>
      </c>
      <c r="AE64" s="17">
        <f>SUM(AE4:AE63)</f>
        <v>140460332.45</v>
      </c>
    </row>
    <row r="65" spans="5:31" ht="13.5" thickTop="1">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2"/>
    </row>
    <row r="66" ht="11.25">
      <c r="F66" s="18"/>
    </row>
  </sheetData>
  <sheetProtection password="CF43" sheet="1"/>
  <mergeCells count="1">
    <mergeCell ref="A1:E1"/>
  </mergeCells>
  <printOptions gridLines="1" horizontalCentered="1"/>
  <pageMargins left="0" right="0" top="1" bottom="1" header="0.5" footer="0.5"/>
  <pageSetup fitToHeight="0" fitToWidth="1" horizontalDpi="600" verticalDpi="600" orientation="landscape" scale="65" r:id="rId3"/>
  <headerFooter alignWithMargins="0">
    <oddHeader>&amp;CIDEA Part B FY 2010 - 2011 Funds Distribution
Funds Expire 09/30/12</oddHeader>
  </headerFooter>
  <legacyDrawing r:id="rId2"/>
</worksheet>
</file>

<file path=xl/worksheets/sheet2.xml><?xml version="1.0" encoding="utf-8"?>
<worksheet xmlns="http://schemas.openxmlformats.org/spreadsheetml/2006/main" xmlns:r="http://schemas.openxmlformats.org/officeDocument/2006/relationships">
  <dimension ref="A1:B62"/>
  <sheetViews>
    <sheetView zoomScalePageLayoutView="0" workbookViewId="0" topLeftCell="A29">
      <selection activeCell="D31" sqref="D31"/>
    </sheetView>
  </sheetViews>
  <sheetFormatPr defaultColWidth="9.140625" defaultRowHeight="12.75"/>
  <cols>
    <col min="2" max="2" width="17.57421875" style="0" customWidth="1"/>
  </cols>
  <sheetData>
    <row r="1" spans="1:2" ht="15">
      <c r="A1" s="21" t="s">
        <v>154</v>
      </c>
      <c r="B1" s="21" t="s">
        <v>155</v>
      </c>
    </row>
    <row r="2" spans="1:2" ht="15">
      <c r="A2" s="22" t="s">
        <v>4</v>
      </c>
      <c r="B2" s="23">
        <v>1024942.8467038213</v>
      </c>
    </row>
    <row r="3" spans="1:2" ht="15">
      <c r="A3" s="22" t="s">
        <v>7</v>
      </c>
      <c r="B3" s="23">
        <v>6435067.764893601</v>
      </c>
    </row>
    <row r="4" spans="1:2" ht="15">
      <c r="A4" s="22" t="s">
        <v>9</v>
      </c>
      <c r="B4" s="23">
        <v>1374967.098233656</v>
      </c>
    </row>
    <row r="5" spans="1:2" ht="15">
      <c r="A5" s="22" t="s">
        <v>11</v>
      </c>
      <c r="B5" s="23">
        <v>1882872.9781478993</v>
      </c>
    </row>
    <row r="6" spans="1:2" ht="15">
      <c r="A6" s="22" t="s">
        <v>13</v>
      </c>
      <c r="B6" s="23">
        <v>1927176.9521626406</v>
      </c>
    </row>
    <row r="7" spans="1:2" ht="15">
      <c r="A7" s="22" t="s">
        <v>15</v>
      </c>
      <c r="B7" s="23">
        <v>748262.2091990301</v>
      </c>
    </row>
    <row r="8" spans="1:2" ht="15">
      <c r="A8" s="22" t="s">
        <v>18</v>
      </c>
      <c r="B8" s="23">
        <v>345489.470777962</v>
      </c>
    </row>
    <row r="9" spans="1:2" ht="15">
      <c r="A9" s="22" t="s">
        <v>20</v>
      </c>
      <c r="B9" s="23">
        <v>8331435.457710771</v>
      </c>
    </row>
    <row r="10" spans="1:2" ht="15">
      <c r="A10" s="22" t="s">
        <v>22</v>
      </c>
      <c r="B10" s="23">
        <v>2575404.465036456</v>
      </c>
    </row>
    <row r="11" spans="1:2" ht="15">
      <c r="A11" s="22" t="s">
        <v>24</v>
      </c>
      <c r="B11" s="23">
        <v>6564617.235373838</v>
      </c>
    </row>
    <row r="12" spans="1:2" ht="15">
      <c r="A12" s="22" t="s">
        <v>26</v>
      </c>
      <c r="B12" s="23">
        <v>3895573.2885668883</v>
      </c>
    </row>
    <row r="13" spans="1:2" ht="15">
      <c r="A13" s="22" t="s">
        <v>29</v>
      </c>
      <c r="B13" s="23">
        <v>5034252.895542215</v>
      </c>
    </row>
    <row r="14" spans="1:2" ht="15">
      <c r="A14" s="22" t="s">
        <v>31</v>
      </c>
      <c r="B14" s="23">
        <v>913116.271999928</v>
      </c>
    </row>
    <row r="15" spans="1:2" ht="15">
      <c r="A15" s="22" t="s">
        <v>34</v>
      </c>
      <c r="B15" s="23">
        <v>14915244.291658487</v>
      </c>
    </row>
    <row r="16" spans="1:2" ht="15">
      <c r="A16" s="22" t="s">
        <v>37</v>
      </c>
      <c r="B16" s="23">
        <v>7610924.07400178</v>
      </c>
    </row>
    <row r="17" spans="1:2" ht="15">
      <c r="A17" s="22" t="s">
        <v>40</v>
      </c>
      <c r="B17" s="23">
        <v>2086066.5464083282</v>
      </c>
    </row>
    <row r="18" spans="1:2" ht="15">
      <c r="A18" s="22" t="s">
        <v>43</v>
      </c>
      <c r="B18" s="23">
        <v>1580174.0662702285</v>
      </c>
    </row>
    <row r="19" spans="1:2" ht="15">
      <c r="A19" s="22" t="s">
        <v>45</v>
      </c>
      <c r="B19" s="23">
        <v>1119127.180798083</v>
      </c>
    </row>
    <row r="20" spans="1:2" ht="15">
      <c r="A20" s="22" t="s">
        <v>47</v>
      </c>
      <c r="B20" s="23">
        <v>5446014.9306921195</v>
      </c>
    </row>
    <row r="21" spans="1:2" ht="15">
      <c r="A21" s="22" t="s">
        <v>49</v>
      </c>
      <c r="B21" s="23">
        <v>629216.6114713111</v>
      </c>
    </row>
    <row r="22" spans="1:2" ht="15">
      <c r="A22" s="22" t="s">
        <v>51</v>
      </c>
      <c r="B22" s="23">
        <v>2893601.861954987</v>
      </c>
    </row>
    <row r="23" spans="1:2" ht="15">
      <c r="A23" s="22" t="s">
        <v>53</v>
      </c>
      <c r="B23" s="23">
        <v>827612.8318629748</v>
      </c>
    </row>
    <row r="24" spans="1:2" ht="15">
      <c r="A24" s="22" t="s">
        <v>55</v>
      </c>
      <c r="B24" s="23">
        <v>1814436.723398754</v>
      </c>
    </row>
    <row r="25" spans="1:2" ht="15">
      <c r="A25" s="22" t="s">
        <v>57</v>
      </c>
      <c r="B25" s="23">
        <v>792621.7154364123</v>
      </c>
    </row>
    <row r="26" spans="1:2" ht="15">
      <c r="A26" s="22" t="s">
        <v>60</v>
      </c>
      <c r="B26" s="23">
        <v>716078.4806457388</v>
      </c>
    </row>
    <row r="27" spans="1:2" ht="15">
      <c r="A27" s="22" t="s">
        <v>63</v>
      </c>
      <c r="B27" s="23">
        <v>271818.2820982719</v>
      </c>
    </row>
    <row r="28" spans="1:2" ht="15">
      <c r="A28" s="22" t="s">
        <v>66</v>
      </c>
      <c r="B28" s="23">
        <v>14073071.82330722</v>
      </c>
    </row>
    <row r="29" spans="1:2" ht="15">
      <c r="A29" s="22" t="s">
        <v>69</v>
      </c>
      <c r="B29" s="23">
        <v>4155994.3067821916</v>
      </c>
    </row>
    <row r="30" spans="1:2" ht="15">
      <c r="A30" s="22" t="s">
        <v>72</v>
      </c>
      <c r="B30" s="23">
        <v>2678742.9736527847</v>
      </c>
    </row>
    <row r="31" spans="1:2" ht="15">
      <c r="A31" s="22" t="s">
        <v>74</v>
      </c>
      <c r="B31" s="23">
        <v>235969.18570885825</v>
      </c>
    </row>
    <row r="32" spans="1:2" ht="15">
      <c r="A32" s="22" t="s">
        <v>76</v>
      </c>
      <c r="B32" s="23">
        <v>528161.7001411362</v>
      </c>
    </row>
    <row r="33" spans="1:2" ht="15">
      <c r="A33" s="22" t="s">
        <v>79</v>
      </c>
      <c r="B33" s="23">
        <v>4065697.175569811</v>
      </c>
    </row>
    <row r="34" spans="1:2" ht="15">
      <c r="A34" s="22" t="s">
        <v>82</v>
      </c>
      <c r="B34" s="23">
        <v>474256.8729035268</v>
      </c>
    </row>
    <row r="35" spans="1:2" ht="15">
      <c r="A35" s="22" t="s">
        <v>85</v>
      </c>
      <c r="B35" s="23">
        <v>1115646.9147875635</v>
      </c>
    </row>
    <row r="36" spans="1:2" ht="15">
      <c r="A36" s="22" t="s">
        <v>88</v>
      </c>
      <c r="B36" s="23">
        <v>626117.9302088782</v>
      </c>
    </row>
    <row r="37" spans="1:2" ht="15">
      <c r="A37" s="22" t="s">
        <v>91</v>
      </c>
      <c r="B37" s="23">
        <v>3204801.4829994785</v>
      </c>
    </row>
    <row r="38" spans="1:2" ht="15">
      <c r="A38" s="22" t="s">
        <v>94</v>
      </c>
      <c r="B38" s="23">
        <v>1304530.5697182121</v>
      </c>
    </row>
    <row r="39" spans="1:2" ht="15">
      <c r="A39" s="22" t="s">
        <v>96</v>
      </c>
      <c r="B39" s="23">
        <v>528656.9976699485</v>
      </c>
    </row>
    <row r="40" spans="1:2" ht="15">
      <c r="A40" s="22" t="s">
        <v>98</v>
      </c>
      <c r="B40" s="23">
        <v>3256724.220303424</v>
      </c>
    </row>
    <row r="41" spans="1:2" ht="15">
      <c r="A41" s="22" t="s">
        <v>100</v>
      </c>
      <c r="B41" s="23">
        <v>1453224.364768396</v>
      </c>
    </row>
    <row r="42" spans="1:2" ht="15">
      <c r="A42" s="22" t="s">
        <v>102</v>
      </c>
      <c r="B42" s="23">
        <v>465748.520655094</v>
      </c>
    </row>
    <row r="43" spans="1:2" ht="15">
      <c r="A43" s="22" t="s">
        <v>104</v>
      </c>
      <c r="B43" s="23">
        <v>0</v>
      </c>
    </row>
    <row r="44" spans="1:2" ht="15">
      <c r="A44" s="22" t="s">
        <v>105</v>
      </c>
      <c r="B44" s="23">
        <v>4131145.636962357</v>
      </c>
    </row>
    <row r="45" spans="1:2" ht="15">
      <c r="A45" s="22" t="s">
        <v>107</v>
      </c>
      <c r="B45" s="23">
        <v>931068.3599108281</v>
      </c>
    </row>
    <row r="46" spans="1:2" ht="15">
      <c r="A46" s="22" t="s">
        <v>109</v>
      </c>
      <c r="B46" s="23">
        <v>904519.7796161289</v>
      </c>
    </row>
    <row r="47" spans="1:2" ht="15">
      <c r="A47" s="22" t="s">
        <v>111</v>
      </c>
      <c r="B47" s="23">
        <v>937121.3488988336</v>
      </c>
    </row>
    <row r="48" spans="1:2" ht="15">
      <c r="A48" s="22" t="s">
        <v>113</v>
      </c>
      <c r="B48" s="23">
        <v>2221676.4822537075</v>
      </c>
    </row>
    <row r="49" spans="1:2" ht="15">
      <c r="A49" s="22" t="s">
        <v>115</v>
      </c>
      <c r="B49" s="23">
        <v>1457306.9494524354</v>
      </c>
    </row>
    <row r="50" spans="1:2" ht="15">
      <c r="A50" s="22" t="s">
        <v>117</v>
      </c>
      <c r="B50" s="23">
        <v>723728.6866697606</v>
      </c>
    </row>
    <row r="51" spans="1:2" ht="15">
      <c r="A51" s="22" t="s">
        <v>119</v>
      </c>
      <c r="B51" s="23">
        <v>961610.6457004581</v>
      </c>
    </row>
    <row r="52" spans="1:2" ht="15">
      <c r="A52" s="22" t="s">
        <v>121</v>
      </c>
      <c r="B52" s="23">
        <v>762117.3183104071</v>
      </c>
    </row>
    <row r="53" spans="1:2" ht="15">
      <c r="A53" s="22" t="s">
        <v>123</v>
      </c>
      <c r="B53" s="23">
        <v>293026.7523442165</v>
      </c>
    </row>
    <row r="54" spans="1:2" ht="15">
      <c r="A54" s="22" t="s">
        <v>125</v>
      </c>
      <c r="B54" s="23">
        <v>1349684.5654284877</v>
      </c>
    </row>
    <row r="55" spans="1:2" ht="15">
      <c r="A55" s="22" t="s">
        <v>127</v>
      </c>
      <c r="B55" s="23">
        <v>801165.2035211623</v>
      </c>
    </row>
    <row r="56" spans="1:2" ht="15">
      <c r="A56" s="22" t="s">
        <v>129</v>
      </c>
      <c r="B56" s="23">
        <v>215113.74701136223</v>
      </c>
    </row>
    <row r="57" spans="1:2" ht="15">
      <c r="A57" s="22" t="s">
        <v>134</v>
      </c>
      <c r="B57" s="23">
        <v>141101.5335659521</v>
      </c>
    </row>
    <row r="58" spans="1:2" ht="15">
      <c r="A58" s="22" t="s">
        <v>132</v>
      </c>
      <c r="B58" s="23">
        <v>936341.8587628311</v>
      </c>
    </row>
    <row r="59" spans="1:2" ht="15">
      <c r="A59" s="22" t="s">
        <v>135</v>
      </c>
      <c r="B59" s="23">
        <v>14415.498474755093</v>
      </c>
    </row>
    <row r="60" spans="1:2" ht="15">
      <c r="A60" s="22" t="s">
        <v>136</v>
      </c>
      <c r="B60" s="23">
        <v>75371.19065628706</v>
      </c>
    </row>
    <row r="61" spans="1:2" ht="15">
      <c r="A61" s="22" t="s">
        <v>137</v>
      </c>
      <c r="B61" s="23">
        <v>152645.1142462078</v>
      </c>
    </row>
    <row r="62" spans="1:2" ht="15">
      <c r="A62" s="22" t="s">
        <v>156</v>
      </c>
      <c r="B62" s="23">
        <v>489379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60"/>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moyle_r</dc:creator>
  <cp:keywords/>
  <dc:description/>
  <cp:lastModifiedBy>Ferris_D</cp:lastModifiedBy>
  <cp:lastPrinted>2011-05-19T00:08:48Z</cp:lastPrinted>
  <dcterms:created xsi:type="dcterms:W3CDTF">2009-07-22T20:15:55Z</dcterms:created>
  <dcterms:modified xsi:type="dcterms:W3CDTF">2012-09-20T21:20:13Z</dcterms:modified>
  <cp:category/>
  <cp:version/>
  <cp:contentType/>
  <cp:contentStatus/>
</cp:coreProperties>
</file>