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8960" windowHeight="11580" activeTab="0"/>
  </bookViews>
  <sheets>
    <sheet name="IDEA Part B  FY 09-10" sheetId="1" r:id="rId1"/>
    <sheet name="ACCESS alloactions" sheetId="2" state="hidden" r:id="rId2"/>
  </sheets>
  <definedNames>
    <definedName name="_xlfn.IFERROR" hidden="1">#NAME?</definedName>
    <definedName name="_xlnm.Print_Titles" localSheetId="0">'IDEA Part B  FY 09-10'!$1:$3</definedName>
  </definedNames>
  <calcPr fullCalcOnLoad="1"/>
</workbook>
</file>

<file path=xl/comments1.xml><?xml version="1.0" encoding="utf-8"?>
<comments xmlns="http://schemas.openxmlformats.org/spreadsheetml/2006/main">
  <authors>
    <author>wallaker_b</author>
    <author>graham_v</author>
    <author>Ferris_D</author>
  </authors>
  <commentList>
    <comment ref="B27" authorId="0">
      <text>
        <r>
          <rPr>
            <sz val="8"/>
            <rFont val="Tahoma"/>
            <family val="2"/>
          </rPr>
          <t>3140 Weld Re-8, Fort Lupton
3090 Weld Re-3, Keenesburg</t>
        </r>
      </text>
    </comment>
    <comment ref="B29" authorId="0">
      <text>
        <r>
          <rPr>
            <sz val="8"/>
            <rFont val="Tahoma"/>
            <family val="2"/>
          </rPr>
          <t xml:space="preserve">1360 Gunnison Re-1J, Gunnison
1380 Hinsdale Re 1, lake City
</t>
        </r>
      </text>
    </comment>
    <comment ref="B35" authorId="0">
      <text>
        <r>
          <rPr>
            <sz val="8"/>
            <rFont val="Tahoma"/>
            <family val="2"/>
          </rPr>
          <t xml:space="preserve">1980 Mesa 49Jt, DeBeque
1990 Mesa 50, Collbran
2000 Mesa 51, Gran Junction
</t>
        </r>
      </text>
    </comment>
    <comment ref="B44" authorId="0">
      <text>
        <r>
          <rPr>
            <sz val="8"/>
            <rFont val="Tahoma"/>
            <family val="2"/>
          </rPr>
          <t>0050 Bennet Adams 29J
0060 Strasburg Adams 31-J
0170 Deer Trail Arapahoe 26 J
0190 Byers Arapahoe 32-J
0510 Kit Carson Cheyenne R-1
0520 Cheyenne Wells Cheyenne RE-5
0920 Elizabeth C-1
0930 Kiowa Elbert C-2
0960 Agate Elbert 300
1450 Arriba/Flagler Kit Carson R-20
1460 High Plains Kit Carson R-23
1480 Stratton Kit Carson R-4
1490 Bethune Kit Carson R-5
1500 Burlington Kit Carson RE-6J
1780 Genoe/Hugo Lincoln C-113
1790 Limon Re-4J
1810 Karval Lincoln RE-23
3040 Arickaree Washington R-2
3070 Woodlin Washington R-104
3220 Idalia RJ-3
3230 Liberty (Joes) Liberty J-4</t>
        </r>
      </text>
    </comment>
    <comment ref="B45" authorId="0">
      <text>
        <r>
          <rPr>
            <sz val="8"/>
            <rFont val="Tahoma"/>
            <family val="2"/>
          </rPr>
          <t>0540 Clear Creek Re-1, Idaho Springs
1330 Gilpin Re-1, Central City
2600 Park 1, Platte Canyon</t>
        </r>
      </text>
    </comment>
    <comment ref="B47" authorId="0">
      <text>
        <r>
          <rPr>
            <sz val="8"/>
            <rFont val="Tahoma"/>
            <family val="2"/>
          </rPr>
          <t xml:space="preserve">0500 Salida RE-32, Chaffee
0490 Buena Vista R-31, Chaffee
0910 Eagle County RE 50, Eagle
1180 Roaring Fork RE-1, Garfield
1195 Garfield Re-2 , Garfield
1220 Garfield 16, Garfield
1510 Lake County R 1
2610 Park County RE-2
2640 Aspen 1, Pitkin
3000 Summit RE-1
</t>
        </r>
      </text>
    </comment>
    <comment ref="B48" authorId="0">
      <text>
        <r>
          <rPr>
            <sz val="8"/>
            <rFont val="Tahoma"/>
            <family val="2"/>
          </rPr>
          <t xml:space="preserve">1850 Logan RE-3, Fleming
1860 Logan RE-4J, Merino
1870 Logan RE-5, Peetz
2620 Phillips Re-1J, Holyoke
2630 Phillips Re-2J, Haxtun
2862 Sedwick Re-1, Julesburg
2865 Sedwick Re-3, Platte Valley
3030 Washington R-1, Akron
3050 Washington R-3, Otis 
3060 Washington 101, Lone Star
3200 Yuma R-J-1, Yuma
3210 Wray RD-2, Wray
</t>
        </r>
      </text>
    </comment>
    <comment ref="B49" authorId="0">
      <text>
        <r>
          <rPr>
            <sz val="8"/>
            <rFont val="Tahoma"/>
            <family val="2"/>
          </rPr>
          <t xml:space="preserve">1340 Grand 1, Kremmling 
1350 Grand 1, Granby 
1410 Jackson R-1, Walden
2760 Routt Re 1, Hayden 
2770 Routt Re 2, Steamboat Springs
2780 Routt Re 3, Oak Creek
</t>
        </r>
      </text>
    </comment>
    <comment ref="B50" authorId="0">
      <text>
        <r>
          <rPr>
            <sz val="8"/>
            <rFont val="Tahoma"/>
            <family val="2"/>
          </rPr>
          <t xml:space="preserve">0940 Elbert 100J (Big Sandy), Simla
0950 Elbert 200, Elbert
0970 El Paso RJ1, Calhan 
1050 El Paso 22, Ellicott
1060 El Paso 23 Jt, Peyton
1070 El Paso 28, Hanover
1120 El paso 54Jt, Edison
1130 El Paso 60Jt, Miami-Yoder
</t>
        </r>
      </text>
    </comment>
    <comment ref="B51" authorId="0">
      <text>
        <r>
          <rPr>
            <sz val="8"/>
            <rFont val="Tahoma"/>
            <family val="2"/>
          </rPr>
          <t>0220 Archuleta 50 Jt, Pagosa Springs
1520 La Plata 9-R, Durango
1530 La Plata 10Jt-R, Bayfield 
1540 La Plata 11 Jt, Ignacio 
2820 San Juan 1, Silverton
0890 Dolores RE-2
2035 Montezuma-Cortez RE-1
2055 Dolores RE-4A
2070 Mancos RE-6
2055</t>
        </r>
      </text>
    </comment>
    <comment ref="B52" authorId="0">
      <text>
        <r>
          <rPr>
            <sz val="8"/>
            <rFont val="Tahoma"/>
            <family val="2"/>
          </rPr>
          <t xml:space="preserve">0100 Alamosa Re-11J, Alamosa
0110 Alamosa Re-22J, Sangre De Christo
0550 Conejos RE1J, La Jara
0560 Conejos 6J, Sanford
0580 Conejos Re10, Antonito
0640 Costilla R-1, San Luis
0740 Costilla R-30, Sierra Grande
2010 Mineral R1, Creede
2730 Rio Grande C-7, Del Norte
2740 Rio Grande C-8, Monte Vista
2750 Rio Grande Re-33J, Sargent
2790 Saguache Re 1, Mountain Valley
2800 Saguache 2, Moffat
2810 Saguache 26Jt, Center
</t>
        </r>
      </text>
    </comment>
    <comment ref="B53" authorId="0">
      <text>
        <r>
          <rPr>
            <sz val="8"/>
            <rFont val="Tahoma"/>
            <family val="2"/>
          </rPr>
          <t>0290 Bent RE-1, Las Animas
2520 Otero R 1, la Junta
2530 Otero R 2, Rocky Ford
2560 Otero 31, Cheraw
2570 Otero 33, Swink</t>
        </r>
      </text>
    </comment>
    <comment ref="B54" authorId="0">
      <text>
        <r>
          <rPr>
            <sz val="8"/>
            <rFont val="Tahoma"/>
            <family val="2"/>
          </rPr>
          <t>0770 Crowley County RE-1-J, Ordway</t>
        </r>
        <r>
          <rPr>
            <b/>
            <sz val="8"/>
            <rFont val="Tahoma"/>
            <family val="2"/>
          </rPr>
          <t xml:space="preserve">
</t>
        </r>
        <r>
          <rPr>
            <sz val="8"/>
            <rFont val="Tahoma"/>
            <family val="2"/>
          </rPr>
          <t>0860 Custer C-1, Westcliffe
1150 Florence RE-2
1160 Fremont Re-3, Cotopaxi
1390 Huerfano Re-1, Walsenburg
1400 Huerfano Re-2, La Veta</t>
        </r>
        <r>
          <rPr>
            <sz val="8"/>
            <rFont val="Tahoma"/>
            <family val="2"/>
          </rPr>
          <t xml:space="preserve">
1580 Las Animas 1, Trinidad
1590 Las Animas 2, Weston (Primero)
1600 Las Animas 3, Hoehne 
1620 Las Animas 6, Aguilar
1750 Las Animas 82, Branson
2535 Otero 3J, Manzanola
2540 Otero R4J, Fowler
</t>
        </r>
      </text>
    </comment>
    <comment ref="B55" authorId="0">
      <text>
        <r>
          <rPr>
            <sz val="8"/>
            <rFont val="Tahoma"/>
            <family val="2"/>
          </rPr>
          <t xml:space="preserve">0230 Baca RE-1, Walsh 
0240 Baca RE-3, Prichett 
0250 Baca RE-4, Springfield 
0260 Baca RE-5, Vilas 
0270 Baca RE-6, Campo
0310 Bent RE-2, McClave
1430 Kiowa Re-1, Eads 
1440 Kiowa Re-2, Plainview 
1760 Las Animas 88, Kim 
2650 Prowers Re-1, Granada
2660 Prowers Re-2, Lamar
2670 Prowers Re-3, Holly 
2680 prowers Re-13Jt, Wiley </t>
        </r>
      </text>
    </comment>
    <comment ref="B56" authorId="0">
      <text>
        <r>
          <rPr>
            <sz val="8"/>
            <rFont val="Tahoma"/>
            <family val="2"/>
          </rPr>
          <t>2190 Montrose RE-2, West End
2580 Ouray R-1, Ouray
2590 Ouray R-2, Ridgway
2830 San Miguel R-1, Telluride
2840 Sam Miguel R-2J, Norwood</t>
        </r>
      </text>
    </comment>
    <comment ref="B57" authorId="0">
      <text>
        <r>
          <rPr>
            <sz val="8"/>
            <rFont val="Tahoma"/>
            <family val="2"/>
          </rPr>
          <t xml:space="preserve">2395 Morgan Re-2(J),  Brush
2505 Morgan Re-20(J), Weldon Valley
2515 Morgan Re-50(J), Wiggins
3080 Weld Re-1, Gilcrest
3085 Weld Re-2, Eaton
3110 Weld Re-5J, Johnstown/Milliken
3130 Weld Re-7, Platte Valley 
3145 Weld Re-9, Ault 
3146 Weld Re-10, Briggsdale
3147 Weld RE-11, Prairie 
3148 Weld Re-12, Pawnee 
</t>
        </r>
      </text>
    </comment>
    <comment ref="B58" authorId="0">
      <text>
        <r>
          <rPr>
            <sz val="8"/>
            <rFont val="Tahoma"/>
            <family val="2"/>
          </rPr>
          <t>1030 El Paso 14, Manitou Springs
3010 Reller Re-1, Cripple Creek
3020 Teller RE-2, Woodland</t>
        </r>
      </text>
    </comment>
    <comment ref="B59" authorId="0">
      <text>
        <r>
          <rPr>
            <sz val="8"/>
            <rFont val="Tahoma"/>
            <family val="2"/>
          </rPr>
          <t>2710 Rio Blanco RE1, Meeker
2720 Rio Blanco RE4, Rangely</t>
        </r>
      </text>
    </comment>
    <comment ref="B46" authorId="1">
      <text>
        <r>
          <rPr>
            <sz val="8"/>
            <rFont val="Tahoma"/>
            <family val="2"/>
          </rPr>
          <t>0890 Dolores County RE-2
2035 Montezuma-Cortez RE-1
2055 Dolores RE-4A
2070 Manco RE-6</t>
        </r>
      </text>
    </comment>
    <comment ref="P5" authorId="1">
      <text>
        <r>
          <rPr>
            <b/>
            <sz val="8"/>
            <rFont val="Tahoma"/>
            <family val="2"/>
          </rPr>
          <t>graham_v:</t>
        </r>
        <r>
          <rPr>
            <sz val="8"/>
            <rFont val="Tahoma"/>
            <family val="2"/>
          </rPr>
          <t xml:space="preserve">
2 payments:
07/15/10 - $501,695
07/20/10 - $1,307,102</t>
        </r>
      </text>
    </comment>
    <comment ref="P9" authorId="1">
      <text>
        <r>
          <rPr>
            <b/>
            <sz val="8"/>
            <rFont val="Tahoma"/>
            <family val="2"/>
          </rPr>
          <t>graham_v:</t>
        </r>
        <r>
          <rPr>
            <sz val="8"/>
            <rFont val="Tahoma"/>
            <family val="2"/>
          </rPr>
          <t xml:space="preserve">
2 payments:
07/15/10 - $59,842
07/20/10 - $66,204</t>
        </r>
      </text>
    </comment>
    <comment ref="U10" authorId="1">
      <text>
        <r>
          <rPr>
            <b/>
            <sz val="8"/>
            <rFont val="Tahoma"/>
            <family val="2"/>
          </rPr>
          <t>graham_v:</t>
        </r>
        <r>
          <rPr>
            <sz val="8"/>
            <rFont val="Tahoma"/>
            <family val="2"/>
          </rPr>
          <t xml:space="preserve">
01/09/10 - Paide $56,181, CDE journal entry to fund 539 to close 539 -$42,642</t>
        </r>
      </text>
    </comment>
    <comment ref="P12" authorId="1">
      <text>
        <r>
          <rPr>
            <b/>
            <sz val="8"/>
            <rFont val="Tahoma"/>
            <family val="2"/>
          </rPr>
          <t>graham_v:</t>
        </r>
        <r>
          <rPr>
            <sz val="8"/>
            <rFont val="Tahoma"/>
            <family val="2"/>
          </rPr>
          <t xml:space="preserve">
2 payments:
07/15/10 - $177,772
07/21/10 - $177,775</t>
        </r>
      </text>
    </comment>
    <comment ref="U12" authorId="1">
      <text>
        <r>
          <rPr>
            <b/>
            <sz val="8"/>
            <rFont val="Tahoma"/>
            <family val="2"/>
          </rPr>
          <t>graham_v:</t>
        </r>
        <r>
          <rPr>
            <sz val="8"/>
            <rFont val="Tahoma"/>
            <family val="2"/>
          </rPr>
          <t xml:space="preserve">
12/2/10 - Paid $117,606, CDE journal entry -$1,656 to fund 539 to close out fund 539</t>
        </r>
      </text>
    </comment>
    <comment ref="P15" authorId="1">
      <text>
        <r>
          <rPr>
            <b/>
            <sz val="8"/>
            <rFont val="Tahoma"/>
            <family val="2"/>
          </rPr>
          <t>graham_v:</t>
        </r>
        <r>
          <rPr>
            <sz val="8"/>
            <rFont val="Tahoma"/>
            <family val="2"/>
          </rPr>
          <t xml:space="preserve">
2 payments:
07/15/10 - $72,258
07/21/10 - $368,407</t>
        </r>
      </text>
    </comment>
    <comment ref="P16" authorId="1">
      <text>
        <r>
          <rPr>
            <b/>
            <sz val="8"/>
            <rFont val="Tahoma"/>
            <family val="2"/>
          </rPr>
          <t>graham_v:</t>
        </r>
        <r>
          <rPr>
            <sz val="8"/>
            <rFont val="Tahoma"/>
            <family val="2"/>
          </rPr>
          <t xml:space="preserve">
2 payments:
07/15/10 - $69,436
07/20/10 - $63,080</t>
        </r>
      </text>
    </comment>
    <comment ref="P17" authorId="1">
      <text>
        <r>
          <rPr>
            <b/>
            <sz val="8"/>
            <rFont val="Tahoma"/>
            <family val="2"/>
          </rPr>
          <t>graham_v:</t>
        </r>
        <r>
          <rPr>
            <sz val="8"/>
            <rFont val="Tahoma"/>
            <family val="2"/>
          </rPr>
          <t xml:space="preserve">
2 payments:
07/15/10 - $903,045
07/21/10 - $1,080,808</t>
        </r>
      </text>
    </comment>
    <comment ref="P21" authorId="1">
      <text>
        <r>
          <rPr>
            <b/>
            <sz val="8"/>
            <rFont val="Tahoma"/>
            <family val="2"/>
          </rPr>
          <t>graham_v:</t>
        </r>
        <r>
          <rPr>
            <sz val="8"/>
            <rFont val="Tahoma"/>
            <family val="2"/>
          </rPr>
          <t xml:space="preserve">
2 payments:
07/15/10 - $80,700
07/21/10 - $222,480</t>
        </r>
      </text>
    </comment>
    <comment ref="P22" authorId="1">
      <text>
        <r>
          <rPr>
            <b/>
            <sz val="8"/>
            <rFont val="Tahoma"/>
            <family val="2"/>
          </rPr>
          <t>graham_v:</t>
        </r>
        <r>
          <rPr>
            <sz val="8"/>
            <rFont val="Tahoma"/>
            <family val="2"/>
          </rPr>
          <t xml:space="preserve">
2 payments:
07/15/10 - $403,394
07/21/11 - $242,234</t>
        </r>
      </text>
    </comment>
    <comment ref="P24" authorId="1">
      <text>
        <r>
          <rPr>
            <b/>
            <sz val="8"/>
            <rFont val="Tahoma"/>
            <family val="2"/>
          </rPr>
          <t>graham_v:</t>
        </r>
        <r>
          <rPr>
            <sz val="8"/>
            <rFont val="Tahoma"/>
            <family val="2"/>
          </rPr>
          <t xml:space="preserve">
2 payments:
07/15/10 - $267,947
07/20/10 - $213,281</t>
        </r>
      </text>
    </comment>
    <comment ref="P28" authorId="1">
      <text>
        <r>
          <rPr>
            <b/>
            <sz val="8"/>
            <rFont val="Tahoma"/>
            <family val="2"/>
          </rPr>
          <t>graham_v:</t>
        </r>
        <r>
          <rPr>
            <sz val="8"/>
            <rFont val="Tahoma"/>
            <family val="2"/>
          </rPr>
          <t xml:space="preserve">
2 payments:
07/15/10 - $54,125
07/21/10 - $111,243
</t>
        </r>
      </text>
    </comment>
    <comment ref="P29" authorId="1">
      <text>
        <r>
          <rPr>
            <b/>
            <sz val="8"/>
            <rFont val="Tahoma"/>
            <family val="2"/>
          </rPr>
          <t>graham_v:</t>
        </r>
        <r>
          <rPr>
            <sz val="8"/>
            <rFont val="Tahoma"/>
            <family val="2"/>
          </rPr>
          <t xml:space="preserve">
2 payments:
07/15/10 - $22,489
07/21/10 - $22,633</t>
        </r>
      </text>
    </comment>
    <comment ref="J31" authorId="1">
      <text>
        <r>
          <rPr>
            <b/>
            <sz val="8"/>
            <rFont val="Tahoma"/>
            <family val="2"/>
          </rPr>
          <t>graham_v:</t>
        </r>
        <r>
          <rPr>
            <sz val="8"/>
            <rFont val="Tahoma"/>
            <family val="2"/>
          </rPr>
          <t xml:space="preserve">
2 payments:
01/18/10 - $349,575
01/19/10 - $346,398</t>
        </r>
      </text>
    </comment>
    <comment ref="P31" authorId="1">
      <text>
        <r>
          <rPr>
            <b/>
            <sz val="8"/>
            <rFont val="Tahoma"/>
            <family val="2"/>
          </rPr>
          <t>graham_v:</t>
        </r>
        <r>
          <rPr>
            <sz val="8"/>
            <rFont val="Tahoma"/>
            <family val="2"/>
          </rPr>
          <t xml:space="preserve">
2 payments:
07/15/10 - $346,398
07/21/10 - $465,567</t>
        </r>
      </text>
    </comment>
    <comment ref="P32" authorId="1">
      <text>
        <r>
          <rPr>
            <b/>
            <sz val="8"/>
            <rFont val="Tahoma"/>
            <family val="2"/>
          </rPr>
          <t>graham_v:</t>
        </r>
        <r>
          <rPr>
            <sz val="8"/>
            <rFont val="Tahoma"/>
            <family val="2"/>
          </rPr>
          <t xml:space="preserve">
2 payments:
07/15/10 - $205,158
07/21/10 - $111,827</t>
        </r>
      </text>
    </comment>
    <comment ref="P35" authorId="1">
      <text>
        <r>
          <rPr>
            <b/>
            <sz val="8"/>
            <rFont val="Tahoma"/>
            <family val="2"/>
          </rPr>
          <t>graham_v:</t>
        </r>
        <r>
          <rPr>
            <sz val="8"/>
            <rFont val="Tahoma"/>
            <family val="2"/>
          </rPr>
          <t xml:space="preserve">
2 payments:
07/15/10 - $66,636
07/22/10 - $554,721</t>
        </r>
      </text>
    </comment>
    <comment ref="N38" authorId="1">
      <text>
        <r>
          <rPr>
            <b/>
            <sz val="8"/>
            <rFont val="Tahoma"/>
            <family val="2"/>
          </rPr>
          <t>graham_v:</t>
        </r>
        <r>
          <rPr>
            <sz val="8"/>
            <rFont val="Tahoma"/>
            <family val="2"/>
          </rPr>
          <t xml:space="preserve">
2 payments:
05/14/10 - $34,070
05/18/10 - $53,099</t>
        </r>
      </text>
    </comment>
    <comment ref="P38" authorId="1">
      <text>
        <r>
          <rPr>
            <b/>
            <sz val="8"/>
            <rFont val="Tahoma"/>
            <family val="2"/>
          </rPr>
          <t>graham_v:</t>
        </r>
        <r>
          <rPr>
            <sz val="8"/>
            <rFont val="Tahoma"/>
            <family val="2"/>
          </rPr>
          <t xml:space="preserve">
2 payments:
07/15/10 - $49,301
07/20/10 - $49,304</t>
        </r>
      </text>
    </comment>
    <comment ref="P41" authorId="1">
      <text>
        <r>
          <rPr>
            <b/>
            <sz val="8"/>
            <rFont val="Tahoma"/>
            <family val="2"/>
          </rPr>
          <t>graham_v:</t>
        </r>
        <r>
          <rPr>
            <sz val="8"/>
            <rFont val="Tahoma"/>
            <family val="2"/>
          </rPr>
          <t xml:space="preserve">
2 payments:
07/15/10 - $38,549
07/21/10 - $74,504</t>
        </r>
      </text>
    </comment>
    <comment ref="P43" authorId="1">
      <text>
        <r>
          <rPr>
            <b/>
            <sz val="8"/>
            <rFont val="Tahoma"/>
            <family val="2"/>
          </rPr>
          <t>graham_v:</t>
        </r>
        <r>
          <rPr>
            <sz val="8"/>
            <rFont val="Tahoma"/>
            <family val="2"/>
          </rPr>
          <t xml:space="preserve">
2 payments:
07/15/10 - $194,626
07/21/10 - $367,516</t>
        </r>
      </text>
    </comment>
    <comment ref="P45" authorId="1">
      <text>
        <r>
          <rPr>
            <b/>
            <sz val="8"/>
            <rFont val="Tahoma"/>
            <family val="2"/>
          </rPr>
          <t>graham_v:</t>
        </r>
        <r>
          <rPr>
            <sz val="8"/>
            <rFont val="Tahoma"/>
            <family val="2"/>
          </rPr>
          <t xml:space="preserve">
2 payments:
07/15/10 - $33,285
07/21/10 - $17,744</t>
        </r>
      </text>
    </comment>
    <comment ref="W45" authorId="1">
      <text>
        <r>
          <rPr>
            <b/>
            <sz val="8"/>
            <rFont val="Tahoma"/>
            <family val="2"/>
          </rPr>
          <t>graham_v:</t>
        </r>
        <r>
          <rPr>
            <sz val="8"/>
            <rFont val="Tahoma"/>
            <family val="2"/>
          </rPr>
          <t xml:space="preserve">
2 payments:
02/11/11 - $49,083 - Closeout
02/11/11 - $133,065</t>
        </r>
      </text>
    </comment>
    <comment ref="T48" authorId="1">
      <text>
        <r>
          <rPr>
            <b/>
            <sz val="8"/>
            <rFont val="Tahoma"/>
            <family val="2"/>
          </rPr>
          <t>graham_v:</t>
        </r>
        <r>
          <rPr>
            <sz val="8"/>
            <rFont val="Tahoma"/>
            <family val="2"/>
          </rPr>
          <t xml:space="preserve">
2 payments:
11/16/10 - $54,832 - closeout
11/19/10 - $196,651</t>
        </r>
      </text>
    </comment>
    <comment ref="T52" authorId="1">
      <text>
        <r>
          <rPr>
            <b/>
            <sz val="8"/>
            <rFont val="Tahoma"/>
            <family val="2"/>
          </rPr>
          <t>graham_v:</t>
        </r>
        <r>
          <rPr>
            <sz val="8"/>
            <rFont val="Tahoma"/>
            <family val="2"/>
          </rPr>
          <t xml:space="preserve">
CDE journals to close fund 539</t>
        </r>
      </text>
    </comment>
    <comment ref="P56" authorId="1">
      <text>
        <r>
          <rPr>
            <b/>
            <sz val="8"/>
            <rFont val="Tahoma"/>
            <family val="2"/>
          </rPr>
          <t>graham_v:</t>
        </r>
        <r>
          <rPr>
            <sz val="8"/>
            <rFont val="Tahoma"/>
            <family val="2"/>
          </rPr>
          <t xml:space="preserve">
2 payments:
07/15/10 - $132,424
07/20/10 - $11,473</t>
        </r>
      </text>
    </comment>
    <comment ref="U57" authorId="1">
      <text>
        <r>
          <rPr>
            <b/>
            <sz val="8"/>
            <rFont val="Tahoma"/>
            <family val="2"/>
          </rPr>
          <t>graham_v:</t>
        </r>
        <r>
          <rPr>
            <sz val="8"/>
            <rFont val="Tahoma"/>
            <family val="2"/>
          </rPr>
          <t xml:space="preserve">
Paid $127,205 on 12/9/10 for closeout payment, moved $33,703 tp 539 via CDE journal to close fund 539</t>
        </r>
      </text>
    </comment>
    <comment ref="N58" authorId="1">
      <text>
        <r>
          <rPr>
            <b/>
            <sz val="8"/>
            <rFont val="Tahoma"/>
            <family val="2"/>
          </rPr>
          <t>graham_v:</t>
        </r>
        <r>
          <rPr>
            <sz val="8"/>
            <rFont val="Tahoma"/>
            <family val="2"/>
          </rPr>
          <t xml:space="preserve">
2 payments:
05/14/10 - $59,908
05/18/10 - $93,798
</t>
        </r>
      </text>
    </comment>
    <comment ref="X63" authorId="1">
      <text>
        <r>
          <rPr>
            <b/>
            <sz val="8"/>
            <rFont val="Tahoma"/>
            <family val="2"/>
          </rPr>
          <t>graham_v:</t>
        </r>
        <r>
          <rPr>
            <sz val="8"/>
            <rFont val="Tahoma"/>
            <family val="2"/>
          </rPr>
          <t xml:space="preserve">
2 Its:
11-142 - $23,518
11-190 - $13,710</t>
        </r>
      </text>
    </comment>
    <comment ref="V65" authorId="1">
      <text>
        <r>
          <rPr>
            <b/>
            <sz val="8"/>
            <rFont val="Tahoma"/>
            <family val="2"/>
          </rPr>
          <t>graham_v:</t>
        </r>
        <r>
          <rPr>
            <sz val="8"/>
            <rFont val="Tahoma"/>
            <family val="2"/>
          </rPr>
          <t xml:space="preserve">
CDE journals to blance and close fund 539</t>
        </r>
      </text>
    </comment>
    <comment ref="AA65" authorId="2">
      <text>
        <r>
          <rPr>
            <b/>
            <sz val="8"/>
            <rFont val="Tahoma"/>
            <family val="0"/>
          </rPr>
          <t>Ferris_D:</t>
        </r>
        <r>
          <rPr>
            <sz val="8"/>
            <rFont val="Tahoma"/>
            <family val="0"/>
          </rPr>
          <t xml:space="preserve">
$38,807 for close-out 2009-2010
$264.157 for exp 2010-2011</t>
        </r>
      </text>
    </comment>
    <comment ref="Y62" authorId="1">
      <text>
        <r>
          <rPr>
            <b/>
            <sz val="8"/>
            <rFont val="Tahoma"/>
            <family val="0"/>
          </rPr>
          <t>graham_v:</t>
        </r>
        <r>
          <rPr>
            <sz val="8"/>
            <rFont val="Tahoma"/>
            <family val="0"/>
          </rPr>
          <t xml:space="preserve">
move IT 11-55 to 539 to close 539 ($40,533); pay IT 11-206 $5,005</t>
        </r>
      </text>
    </comment>
  </commentList>
</comments>
</file>

<file path=xl/sharedStrings.xml><?xml version="1.0" encoding="utf-8"?>
<sst xmlns="http://schemas.openxmlformats.org/spreadsheetml/2006/main" count="325" uniqueCount="211">
  <si>
    <t>District name</t>
  </si>
  <si>
    <t>County name</t>
  </si>
  <si>
    <t>Grant code 4027</t>
  </si>
  <si>
    <t>01010</t>
  </si>
  <si>
    <t>Adams 1, Mapleton</t>
  </si>
  <si>
    <t>Adams</t>
  </si>
  <si>
    <t>01020</t>
  </si>
  <si>
    <t>Adams 12, Northglenn-Thornton</t>
  </si>
  <si>
    <t>01030</t>
  </si>
  <si>
    <t>Adams 14, Commerce City</t>
  </si>
  <si>
    <t>01040</t>
  </si>
  <si>
    <t>Adams 27J, Brighton</t>
  </si>
  <si>
    <t>01070</t>
  </si>
  <si>
    <t>Adams 50, Westminster</t>
  </si>
  <si>
    <t>03010</t>
  </si>
  <si>
    <t>Arapahoe 1, Englewood</t>
  </si>
  <si>
    <t>Arapahoe</t>
  </si>
  <si>
    <t>03020</t>
  </si>
  <si>
    <t>Arapahoe 2, Sheridan</t>
  </si>
  <si>
    <t>03030</t>
  </si>
  <si>
    <t>Arapahoe 5, Cherry Creek</t>
  </si>
  <si>
    <t>03040</t>
  </si>
  <si>
    <t>Arapahoe 6, Littleton</t>
  </si>
  <si>
    <t>03060</t>
  </si>
  <si>
    <t>Adams-Arapahoe 28J, Aurora</t>
  </si>
  <si>
    <t>07010</t>
  </si>
  <si>
    <t>Boulder RE1J, St. Vrain Valley</t>
  </si>
  <si>
    <t>Boulder</t>
  </si>
  <si>
    <t>07020</t>
  </si>
  <si>
    <t>Boulder RE2, Boulder Valley</t>
  </si>
  <si>
    <t>15010</t>
  </si>
  <si>
    <t>Delta 50(J), Delta</t>
  </si>
  <si>
    <t>Delta</t>
  </si>
  <si>
    <t>16010</t>
  </si>
  <si>
    <t>Denver 1, Denver</t>
  </si>
  <si>
    <t>Denver</t>
  </si>
  <si>
    <t>18010</t>
  </si>
  <si>
    <t>Douglas Re 1, Castle Rock</t>
  </si>
  <si>
    <t>Douglas</t>
  </si>
  <si>
    <t>21020</t>
  </si>
  <si>
    <t>El Paso 2, Harrison</t>
  </si>
  <si>
    <t>El Paso</t>
  </si>
  <si>
    <t>21030</t>
  </si>
  <si>
    <t>El Paso 3, Widefield</t>
  </si>
  <si>
    <t>21040</t>
  </si>
  <si>
    <t>El Paso 8, Fountain</t>
  </si>
  <si>
    <t>21050</t>
  </si>
  <si>
    <t>El Paso 11, Colorado Springs</t>
  </si>
  <si>
    <t>21060</t>
  </si>
  <si>
    <t>El Paso 12, Cheyenne Mountain</t>
  </si>
  <si>
    <t>21080</t>
  </si>
  <si>
    <t>El Paso 20, Academy</t>
  </si>
  <si>
    <t>21085</t>
  </si>
  <si>
    <t>El Paso 38, Lewis-Palmer</t>
  </si>
  <si>
    <t>21090</t>
  </si>
  <si>
    <t>El Paso 49, Falcon</t>
  </si>
  <si>
    <t>21490</t>
  </si>
  <si>
    <t>Fort Lupton/Keenesburg</t>
  </si>
  <si>
    <t>Weld</t>
  </si>
  <si>
    <t>22010</t>
  </si>
  <si>
    <t>Fremont Re-1, Canon City</t>
  </si>
  <si>
    <t>Fremont</t>
  </si>
  <si>
    <t>26011</t>
  </si>
  <si>
    <t>Gunnison RE-1J</t>
  </si>
  <si>
    <t>Gunnison</t>
  </si>
  <si>
    <t>30011</t>
  </si>
  <si>
    <t>Jefferson R-1, Lakewood</t>
  </si>
  <si>
    <t>Jefferson</t>
  </si>
  <si>
    <t>35010</t>
  </si>
  <si>
    <t>Larimer R-1, Poudre</t>
  </si>
  <si>
    <t>Larimer</t>
  </si>
  <si>
    <t>35020</t>
  </si>
  <si>
    <t>Larimer R-2J, Thompson</t>
  </si>
  <si>
    <t>35030</t>
  </si>
  <si>
    <t>Larimer R-3, Park</t>
  </si>
  <si>
    <t>38010</t>
  </si>
  <si>
    <t>Logan Re-1, Valley</t>
  </si>
  <si>
    <t>Logan</t>
  </si>
  <si>
    <t>39031</t>
  </si>
  <si>
    <t>Mesa 51, Grand Junction</t>
  </si>
  <si>
    <t>Mesa</t>
  </si>
  <si>
    <t>41010</t>
  </si>
  <si>
    <t>Moffat Re 1, Craig</t>
  </si>
  <si>
    <t>Moffat</t>
  </si>
  <si>
    <t>43010</t>
  </si>
  <si>
    <t>Montrose Re-1J, Montrose</t>
  </si>
  <si>
    <t>Montrose</t>
  </si>
  <si>
    <t>44020</t>
  </si>
  <si>
    <t>Morgan Re-3, Fort Morgan</t>
  </si>
  <si>
    <t>Morgan</t>
  </si>
  <si>
    <t>51010</t>
  </si>
  <si>
    <t>Pueblo 60, Urban</t>
  </si>
  <si>
    <t>Pueblo</t>
  </si>
  <si>
    <t>51020</t>
  </si>
  <si>
    <t>Pueblo 70, Rural</t>
  </si>
  <si>
    <t>62040</t>
  </si>
  <si>
    <t>Weld Re-4, Windsor</t>
  </si>
  <si>
    <t>62060</t>
  </si>
  <si>
    <t>Weld 6, Greeley</t>
  </si>
  <si>
    <t>64043</t>
  </si>
  <si>
    <t>East Central BOCES</t>
  </si>
  <si>
    <t>64053</t>
  </si>
  <si>
    <t>Mt. Evans BOCS</t>
  </si>
  <si>
    <t>64083</t>
  </si>
  <si>
    <t>64093</t>
  </si>
  <si>
    <t>Mountain BOCS</t>
  </si>
  <si>
    <t>64103</t>
  </si>
  <si>
    <t>Northeast Colorado BOCES</t>
  </si>
  <si>
    <t>64123</t>
  </si>
  <si>
    <t>Northwest Colorado BOCS</t>
  </si>
  <si>
    <t>64133</t>
  </si>
  <si>
    <t>Pikes Peak BOCS</t>
  </si>
  <si>
    <t>64143</t>
  </si>
  <si>
    <t>San Juan BOCS</t>
  </si>
  <si>
    <t>64153</t>
  </si>
  <si>
    <t>San Luis Valley BOCS</t>
  </si>
  <si>
    <t>64160</t>
  </si>
  <si>
    <t>Santa Fe Trail BOCES</t>
  </si>
  <si>
    <t>64163</t>
  </si>
  <si>
    <t>South Central BOCS</t>
  </si>
  <si>
    <t>64193</t>
  </si>
  <si>
    <t>Southeastern BOCES</t>
  </si>
  <si>
    <t>64200</t>
  </si>
  <si>
    <t>Uncompahgre BOCS</t>
  </si>
  <si>
    <t>64203</t>
  </si>
  <si>
    <t>Centennial BOCES</t>
  </si>
  <si>
    <t>64205</t>
  </si>
  <si>
    <t>Ute Pass BOCES</t>
  </si>
  <si>
    <t>64213</t>
  </si>
  <si>
    <t>Rio Blanco BOCS</t>
  </si>
  <si>
    <t>Colorado School of Deaf/Blind</t>
  </si>
  <si>
    <t>80010</t>
  </si>
  <si>
    <t>Charter School Institute</t>
  </si>
  <si>
    <t>66050</t>
  </si>
  <si>
    <t>66060</t>
  </si>
  <si>
    <t>66070</t>
  </si>
  <si>
    <t>66080</t>
  </si>
  <si>
    <t>66090</t>
  </si>
  <si>
    <t>September 2010</t>
  </si>
  <si>
    <t>October 2010</t>
  </si>
  <si>
    <t>November 2010</t>
  </si>
  <si>
    <t>December 2010</t>
  </si>
  <si>
    <t>January 2011</t>
  </si>
  <si>
    <t>March 2011</t>
  </si>
  <si>
    <t>April 2011</t>
  </si>
  <si>
    <t>na_no</t>
  </si>
  <si>
    <t>award</t>
  </si>
  <si>
    <t>CMHI-Pueblo</t>
  </si>
  <si>
    <t>Colorado Dept of Corrections</t>
  </si>
  <si>
    <t>Division of Youth Services</t>
  </si>
  <si>
    <t>name</t>
  </si>
  <si>
    <t>Adams 12 Five Star Schools</t>
  </si>
  <si>
    <t>Adams/Arapahoe 28J, Aurora</t>
  </si>
  <si>
    <t>Boulder RE-1J</t>
  </si>
  <si>
    <t>Boulder RE-2, Boulder</t>
  </si>
  <si>
    <t>Delta 50J, Delta</t>
  </si>
  <si>
    <t>Douglas RE-1, Castle Rock</t>
  </si>
  <si>
    <t>Fort Lupton/Keenesburg, Fort Lupton</t>
  </si>
  <si>
    <t>Fremont RE-1, Canon City</t>
  </si>
  <si>
    <t>Gunnison RE-1J, Gunnison</t>
  </si>
  <si>
    <t>Jefferson District R-1, Golden</t>
  </si>
  <si>
    <t>Larimer R-1, Fort Collins</t>
  </si>
  <si>
    <t>Larimer R-2J, Loveland</t>
  </si>
  <si>
    <t>Larimer R-3, Estes Park</t>
  </si>
  <si>
    <t>LOGAN RE-1</t>
  </si>
  <si>
    <t>Moffat RE-1, Craig</t>
  </si>
  <si>
    <t>Montrose RE-1J, Montrose</t>
  </si>
  <si>
    <t>Weld RE-4, Windsor</t>
  </si>
  <si>
    <t>East Central BOCES, Limon</t>
  </si>
  <si>
    <t>Mount Evans BOCS, Idaho Springs</t>
  </si>
  <si>
    <t>Southwest BOCS, Cortez</t>
  </si>
  <si>
    <t>Mountain BOCES, Leadville</t>
  </si>
  <si>
    <t>Northeast BOCES</t>
  </si>
  <si>
    <t>Northwest BOCES, Steamboat Springs</t>
  </si>
  <si>
    <t>Pikes Peak BOCS, Colorado Springs</t>
  </si>
  <si>
    <t>South Central BOCS, Pueblo</t>
  </si>
  <si>
    <t>Rio Blanco BOCES, Rangely</t>
  </si>
  <si>
    <t>Colorado School for the Deaf and the Blind</t>
  </si>
  <si>
    <t>CO Mental Health Institute at Pueblo</t>
  </si>
  <si>
    <t>Colorado Department of Corrections</t>
  </si>
  <si>
    <t>Division of Youth Corrections</t>
  </si>
  <si>
    <t>CO Mental Health Institute at Fort Lgan</t>
  </si>
  <si>
    <t>Southwest BOCES</t>
  </si>
  <si>
    <r>
      <t xml:space="preserve">FY 2010 Remaining allocation  </t>
    </r>
    <r>
      <rPr>
        <b/>
        <sz val="10"/>
        <color indexed="10"/>
        <rFont val="Arial"/>
        <family val="2"/>
      </rPr>
      <t>Fund 530</t>
    </r>
  </si>
  <si>
    <r>
      <t xml:space="preserve">FY 2010 Allocation amount  </t>
    </r>
    <r>
      <rPr>
        <b/>
        <sz val="10"/>
        <color indexed="10"/>
        <rFont val="Arial"/>
        <family val="2"/>
      </rPr>
      <t xml:space="preserve">  Fund 530</t>
    </r>
  </si>
  <si>
    <t>CMHI-Ft. Logan</t>
  </si>
  <si>
    <t>September 2009</t>
  </si>
  <si>
    <t>October 2009</t>
  </si>
  <si>
    <t>November 2009</t>
  </si>
  <si>
    <t>December 2009</t>
  </si>
  <si>
    <t>January 2010</t>
  </si>
  <si>
    <t>Februrary 2010</t>
  </si>
  <si>
    <t>March 2010</t>
  </si>
  <si>
    <t>April   2010</t>
  </si>
  <si>
    <t>May       2010</t>
  </si>
  <si>
    <t>June 2010</t>
  </si>
  <si>
    <t>August 2010</t>
  </si>
  <si>
    <t>February 2011</t>
  </si>
  <si>
    <t>July     2010</t>
  </si>
  <si>
    <r>
      <t xml:space="preserve">Received to date for       </t>
    </r>
    <r>
      <rPr>
        <b/>
        <sz val="8"/>
        <color indexed="10"/>
        <rFont val="Arial"/>
        <family val="2"/>
      </rPr>
      <t>Fund 530</t>
    </r>
  </si>
  <si>
    <t>Admin Unit code</t>
  </si>
  <si>
    <t>May 2011</t>
  </si>
  <si>
    <t>IDEA Part B - FY 10 Funds - Expire 09/30/11</t>
  </si>
  <si>
    <t>June 2011</t>
  </si>
  <si>
    <t>July 2011</t>
  </si>
  <si>
    <t>August 2011</t>
  </si>
  <si>
    <t>September 2011</t>
  </si>
  <si>
    <t>October 2011</t>
  </si>
  <si>
    <t>62050</t>
  </si>
  <si>
    <t>Weld 5, Johnstown Millikin</t>
  </si>
  <si>
    <t>November 2011</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</si>
</sst>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quot;$&quot;#,##0\)"/>
    <numFmt numFmtId="166" formatCode="&quot;$&quot;#,##0.00;\(&quot;$&quot;#,##0.00\)"/>
    <numFmt numFmtId="167" formatCode="&quot;$&quot;#,##0.0;\(&quot;$&quot;#,##0.0\)"/>
  </numFmts>
  <fonts count="43">
    <font>
      <sz val="10"/>
      <name val="Arial"/>
      <family val="0"/>
    </font>
    <font>
      <sz val="11"/>
      <color indexed="8"/>
      <name val="Calibri"/>
      <family val="2"/>
    </font>
    <font>
      <b/>
      <sz val="10"/>
      <color indexed="10"/>
      <name val="Arial"/>
      <family val="2"/>
    </font>
    <font>
      <sz val="8"/>
      <name val="Arial"/>
      <family val="2"/>
    </font>
    <font>
      <b/>
      <sz val="8"/>
      <color indexed="10"/>
      <name val="Arial"/>
      <family val="2"/>
    </font>
    <font>
      <b/>
      <sz val="8"/>
      <name val="Arial"/>
      <family val="2"/>
    </font>
    <font>
      <b/>
      <sz val="10"/>
      <name val="Arial"/>
      <family val="2"/>
    </font>
    <font>
      <b/>
      <sz val="8"/>
      <name val="Tahoma"/>
      <family val="2"/>
    </font>
    <font>
      <sz val="8"/>
      <name val="Tahoma"/>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22"/>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style="double"/>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s>
  <cellStyleXfs count="64">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26" fillId="0" borderId="0" applyFont="0" applyFill="0" applyBorder="0" applyAlignment="0" applyProtection="0"/>
    <xf numFmtId="3" fontId="0" fillId="0" borderId="0" applyFont="0" applyFill="0" applyBorder="0" applyAlignment="0" applyProtection="0"/>
    <xf numFmtId="44" fontId="26" fillId="0" borderId="0" applyFont="0" applyFill="0" applyBorder="0" applyAlignment="0" applyProtection="0"/>
    <xf numFmtId="42" fontId="26"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6" fillId="0" borderId="0">
      <alignment/>
      <protection/>
    </xf>
    <xf numFmtId="0" fontId="9" fillId="0" borderId="0">
      <alignment/>
      <protection/>
    </xf>
    <xf numFmtId="0" fontId="26" fillId="32" borderId="7" applyNumberFormat="0" applyFont="0" applyAlignment="0" applyProtection="0"/>
    <xf numFmtId="0" fontId="39" fillId="27" borderId="8" applyNumberFormat="0" applyAlignment="0" applyProtection="0"/>
    <xf numFmtId="9" fontId="26"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0">
    <xf numFmtId="0" fontId="0" fillId="0" borderId="0" xfId="0" applyAlignment="1">
      <alignment/>
    </xf>
    <xf numFmtId="0" fontId="0" fillId="0" borderId="0" xfId="0" applyFont="1" applyAlignment="1">
      <alignment horizontal="center" wrapText="1"/>
    </xf>
    <xf numFmtId="0" fontId="0" fillId="0" borderId="0" xfId="0" applyAlignment="1">
      <alignment horizontal="center" wrapText="1"/>
    </xf>
    <xf numFmtId="49" fontId="0" fillId="0" borderId="0" xfId="0" applyNumberFormat="1" applyFont="1" applyAlignment="1">
      <alignment horizontal="center" wrapText="1"/>
    </xf>
    <xf numFmtId="49" fontId="3" fillId="0" borderId="0" xfId="0" applyNumberFormat="1" applyFont="1" applyAlignment="1">
      <alignment horizontal="center" wrapText="1"/>
    </xf>
    <xf numFmtId="49" fontId="0" fillId="0" borderId="0" xfId="0" applyNumberFormat="1" applyAlignment="1">
      <alignment horizontal="center" wrapText="1"/>
    </xf>
    <xf numFmtId="0" fontId="0" fillId="33" borderId="0" xfId="0" applyFill="1" applyAlignment="1">
      <alignment horizontal="center" wrapText="1"/>
    </xf>
    <xf numFmtId="3" fontId="5" fillId="0" borderId="0" xfId="44" applyFont="1" applyAlignment="1">
      <alignment horizontal="center"/>
    </xf>
    <xf numFmtId="3" fontId="5" fillId="0" borderId="0" xfId="44" applyFont="1" applyBorder="1" applyAlignment="1">
      <alignment/>
    </xf>
    <xf numFmtId="164" fontId="5" fillId="0" borderId="0" xfId="42" applyNumberFormat="1" applyFont="1" applyBorder="1" applyAlignment="1">
      <alignment/>
    </xf>
    <xf numFmtId="164" fontId="5" fillId="0" borderId="0" xfId="0" applyNumberFormat="1" applyFont="1" applyBorder="1" applyAlignment="1">
      <alignment/>
    </xf>
    <xf numFmtId="164" fontId="0" fillId="0" borderId="0" xfId="0" applyNumberFormat="1" applyAlignment="1">
      <alignment/>
    </xf>
    <xf numFmtId="164" fontId="3" fillId="0" borderId="0" xfId="0" applyNumberFormat="1" applyFont="1" applyAlignment="1">
      <alignment/>
    </xf>
    <xf numFmtId="164" fontId="3" fillId="0" borderId="0" xfId="0" applyNumberFormat="1" applyFont="1" applyAlignment="1">
      <alignment/>
    </xf>
    <xf numFmtId="3" fontId="5" fillId="0" borderId="0" xfId="44" applyFont="1" applyFill="1" applyBorder="1" applyAlignment="1">
      <alignment/>
    </xf>
    <xf numFmtId="0" fontId="6" fillId="0" borderId="0" xfId="0" applyFont="1" applyBorder="1" applyAlignment="1">
      <alignment/>
    </xf>
    <xf numFmtId="3" fontId="5" fillId="0" borderId="0" xfId="44" applyFont="1" applyBorder="1" applyAlignment="1">
      <alignment horizontal="center"/>
    </xf>
    <xf numFmtId="164" fontId="5" fillId="0" borderId="10" xfId="0" applyNumberFormat="1" applyFont="1" applyBorder="1" applyAlignment="1">
      <alignment/>
    </xf>
    <xf numFmtId="164" fontId="3" fillId="0" borderId="10" xfId="0" applyNumberFormat="1" applyFont="1" applyBorder="1" applyAlignment="1">
      <alignment/>
    </xf>
    <xf numFmtId="164" fontId="3" fillId="0" borderId="0" xfId="0" applyNumberFormat="1" applyFont="1" applyFill="1" applyBorder="1" applyAlignment="1">
      <alignment/>
    </xf>
    <xf numFmtId="0" fontId="3" fillId="0" borderId="0" xfId="0" applyFont="1" applyAlignment="1">
      <alignment/>
    </xf>
    <xf numFmtId="1" fontId="5" fillId="0" borderId="0" xfId="44" applyNumberFormat="1" applyFont="1" applyBorder="1" applyAlignment="1" quotePrefix="1">
      <alignment horizontal="center"/>
    </xf>
    <xf numFmtId="3" fontId="5" fillId="0" borderId="0" xfId="44" applyFont="1" applyAlignment="1" quotePrefix="1">
      <alignment horizontal="center"/>
    </xf>
    <xf numFmtId="0" fontId="1" fillId="34" borderId="11" xfId="57" applyFont="1" applyFill="1" applyBorder="1" applyAlignment="1">
      <alignment horizontal="center"/>
      <protection/>
    </xf>
    <xf numFmtId="0" fontId="1" fillId="0" borderId="12" xfId="57" applyFont="1" applyFill="1" applyBorder="1" applyAlignment="1">
      <alignment wrapText="1"/>
      <protection/>
    </xf>
    <xf numFmtId="165" fontId="1" fillId="0" borderId="12" xfId="57" applyNumberFormat="1" applyFont="1" applyFill="1" applyBorder="1" applyAlignment="1">
      <alignment horizontal="right" wrapText="1"/>
      <protection/>
    </xf>
    <xf numFmtId="165" fontId="0" fillId="0" borderId="0" xfId="0" applyNumberFormat="1" applyAlignment="1">
      <alignment/>
    </xf>
    <xf numFmtId="164" fontId="3" fillId="35" borderId="0" xfId="0" applyNumberFormat="1" applyFont="1" applyFill="1" applyAlignment="1">
      <alignment/>
    </xf>
    <xf numFmtId="1" fontId="5" fillId="0" borderId="0" xfId="44" applyNumberFormat="1" applyFont="1" applyFill="1" applyBorder="1" applyAlignment="1" quotePrefix="1">
      <alignment horizontal="center"/>
    </xf>
    <xf numFmtId="0" fontId="6" fillId="0" borderId="0" xfId="0" applyFont="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_ACCESS alloactions"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0"/>
    <pageSetUpPr fitToPage="1"/>
  </sheetPr>
  <dimension ref="A1:AH68"/>
  <sheetViews>
    <sheetView tabSelected="1" zoomScalePageLayoutView="0" workbookViewId="0" topLeftCell="A1">
      <pane xSplit="5" ySplit="3" topLeftCell="Z37" activePane="bottomRight" state="frozen"/>
      <selection pane="topLeft" activeCell="A1" sqref="A1"/>
      <selection pane="topRight" activeCell="F1" sqref="F1"/>
      <selection pane="bottomLeft" activeCell="A3" sqref="A3"/>
      <selection pane="bottomRight" activeCell="AJ42" sqref="AJ42:AK42"/>
    </sheetView>
  </sheetViews>
  <sheetFormatPr defaultColWidth="9.140625" defaultRowHeight="12.75"/>
  <cols>
    <col min="1" max="1" width="7.57421875" style="0" customWidth="1"/>
    <col min="2" max="2" width="28.28125" style="0" bestFit="1" customWidth="1"/>
    <col min="3" max="3" width="9.421875" style="0" customWidth="1"/>
    <col min="4" max="4" width="11.00390625" style="0" customWidth="1"/>
    <col min="5" max="5" width="10.421875" style="0" customWidth="1"/>
    <col min="6" max="6" width="10.8515625" style="0" customWidth="1"/>
    <col min="7" max="7" width="9.57421875" style="0" customWidth="1"/>
    <col min="8" max="8" width="9.140625" style="0" customWidth="1"/>
    <col min="9" max="9" width="9.57421875" style="0" customWidth="1"/>
    <col min="10" max="10" width="9.28125" style="0" bestFit="1" customWidth="1"/>
    <col min="11" max="11" width="8.7109375" style="0" bestFit="1" customWidth="1"/>
    <col min="12" max="12" width="10.00390625" style="0" customWidth="1"/>
    <col min="13" max="13" width="9.57421875" style="0" bestFit="1" customWidth="1"/>
    <col min="14" max="14" width="10.8515625" style="0" customWidth="1"/>
    <col min="15" max="15" width="8.7109375" style="0" bestFit="1" customWidth="1"/>
    <col min="16" max="16" width="9.7109375" style="0" customWidth="1"/>
    <col min="17" max="17" width="8.7109375" style="0" bestFit="1" customWidth="1"/>
    <col min="18" max="31" width="10.28125" style="0" customWidth="1"/>
    <col min="32" max="32" width="10.8515625" style="0" customWidth="1"/>
    <col min="33" max="33" width="10.421875" style="20" bestFit="1" customWidth="1"/>
    <col min="34" max="34" width="4.421875" style="0" customWidth="1"/>
    <col min="35" max="35" width="5.28125" style="0" bestFit="1" customWidth="1"/>
    <col min="36" max="36" width="9.00390625" style="0" bestFit="1" customWidth="1"/>
    <col min="37" max="37" width="12.7109375" style="0" bestFit="1" customWidth="1"/>
    <col min="38" max="38" width="0" style="0" hidden="1" customWidth="1"/>
    <col min="39" max="39" width="26.140625" style="0" customWidth="1"/>
    <col min="40" max="40" width="11.7109375" style="0" bestFit="1" customWidth="1"/>
  </cols>
  <sheetData>
    <row r="1" spans="1:5" ht="21" customHeight="1">
      <c r="A1" s="29" t="s">
        <v>202</v>
      </c>
      <c r="B1" s="29"/>
      <c r="C1" s="29"/>
      <c r="D1" s="29"/>
      <c r="E1" s="29"/>
    </row>
    <row r="2" spans="1:34" ht="63.75">
      <c r="A2" s="1" t="s">
        <v>200</v>
      </c>
      <c r="B2" s="1" t="s">
        <v>0</v>
      </c>
      <c r="C2" s="1" t="s">
        <v>1</v>
      </c>
      <c r="D2" s="2" t="s">
        <v>184</v>
      </c>
      <c r="E2" s="2" t="s">
        <v>183</v>
      </c>
      <c r="F2" s="5" t="s">
        <v>186</v>
      </c>
      <c r="G2" s="5" t="s">
        <v>187</v>
      </c>
      <c r="H2" s="5" t="s">
        <v>188</v>
      </c>
      <c r="I2" s="5" t="s">
        <v>189</v>
      </c>
      <c r="J2" s="5" t="s">
        <v>190</v>
      </c>
      <c r="K2" s="5" t="s">
        <v>191</v>
      </c>
      <c r="L2" s="5" t="s">
        <v>192</v>
      </c>
      <c r="M2" s="5" t="s">
        <v>193</v>
      </c>
      <c r="N2" s="5" t="s">
        <v>194</v>
      </c>
      <c r="O2" s="5" t="s">
        <v>195</v>
      </c>
      <c r="P2" s="5" t="s">
        <v>198</v>
      </c>
      <c r="Q2" s="5" t="s">
        <v>196</v>
      </c>
      <c r="R2" s="5" t="s">
        <v>138</v>
      </c>
      <c r="S2" s="5" t="s">
        <v>139</v>
      </c>
      <c r="T2" s="5" t="s">
        <v>140</v>
      </c>
      <c r="U2" s="5" t="s">
        <v>141</v>
      </c>
      <c r="V2" s="5" t="s">
        <v>142</v>
      </c>
      <c r="W2" s="5" t="s">
        <v>197</v>
      </c>
      <c r="X2" s="5" t="s">
        <v>143</v>
      </c>
      <c r="Y2" s="5" t="s">
        <v>144</v>
      </c>
      <c r="Z2" s="5" t="s">
        <v>201</v>
      </c>
      <c r="AA2" s="5" t="s">
        <v>203</v>
      </c>
      <c r="AB2" s="5" t="s">
        <v>204</v>
      </c>
      <c r="AC2" s="5" t="s">
        <v>205</v>
      </c>
      <c r="AD2" s="5" t="s">
        <v>206</v>
      </c>
      <c r="AE2" s="5" t="s">
        <v>207</v>
      </c>
      <c r="AF2" s="3" t="s">
        <v>210</v>
      </c>
      <c r="AG2" s="4" t="s">
        <v>199</v>
      </c>
      <c r="AH2" s="5"/>
    </row>
    <row r="3" spans="1:34" ht="32.25" customHeight="1">
      <c r="A3" s="2"/>
      <c r="B3" s="2"/>
      <c r="C3" s="2"/>
      <c r="D3" s="6" t="s">
        <v>2</v>
      </c>
      <c r="E3" s="6" t="s">
        <v>2</v>
      </c>
      <c r="F3" s="5"/>
      <c r="G3" s="5"/>
      <c r="H3" s="5"/>
      <c r="I3" s="5"/>
      <c r="J3" s="5"/>
      <c r="K3" s="5"/>
      <c r="L3" s="5"/>
      <c r="M3" s="5"/>
      <c r="N3" s="5"/>
      <c r="O3" s="5"/>
      <c r="P3" s="5"/>
      <c r="Q3" s="5"/>
      <c r="R3" s="5"/>
      <c r="S3" s="5"/>
      <c r="T3" s="5"/>
      <c r="U3" s="5"/>
      <c r="V3" s="5"/>
      <c r="W3" s="5"/>
      <c r="X3" s="5"/>
      <c r="Y3" s="5"/>
      <c r="Z3" s="5"/>
      <c r="AA3" s="5"/>
      <c r="AB3" s="5"/>
      <c r="AC3" s="5"/>
      <c r="AD3" s="5"/>
      <c r="AE3" s="5"/>
      <c r="AF3" s="5"/>
      <c r="AG3" s="4"/>
      <c r="AH3" s="5"/>
    </row>
    <row r="4" spans="1:33" ht="12.75">
      <c r="A4" s="7" t="s">
        <v>3</v>
      </c>
      <c r="B4" s="8" t="s">
        <v>4</v>
      </c>
      <c r="C4" s="8" t="s">
        <v>5</v>
      </c>
      <c r="D4" s="9">
        <f>VLOOKUP(A4,'ACCESS alloactions'!$A$2:$B$62,2,FALSE)</f>
        <v>1111980.3</v>
      </c>
      <c r="E4" s="10">
        <f>D4-SUM(F4:AE4)</f>
        <v>0.30000000004656613</v>
      </c>
      <c r="F4" s="12">
        <v>82264</v>
      </c>
      <c r="G4" s="12">
        <v>82264</v>
      </c>
      <c r="H4" s="12">
        <v>82264</v>
      </c>
      <c r="I4" s="12">
        <v>82264</v>
      </c>
      <c r="J4" s="12">
        <v>82264</v>
      </c>
      <c r="K4" s="12">
        <v>82264</v>
      </c>
      <c r="L4" s="12">
        <v>82264</v>
      </c>
      <c r="M4" s="12">
        <v>82264</v>
      </c>
      <c r="N4" s="12">
        <v>0</v>
      </c>
      <c r="O4" s="12">
        <v>0</v>
      </c>
      <c r="P4" s="12">
        <v>25124</v>
      </c>
      <c r="Q4" s="12">
        <v>0</v>
      </c>
      <c r="R4" s="12">
        <v>1121</v>
      </c>
      <c r="S4" s="12">
        <v>0</v>
      </c>
      <c r="T4" s="12">
        <v>0</v>
      </c>
      <c r="U4" s="12">
        <v>0</v>
      </c>
      <c r="V4" s="12">
        <v>427623</v>
      </c>
      <c r="W4" s="12">
        <v>0</v>
      </c>
      <c r="X4" s="12">
        <v>0</v>
      </c>
      <c r="Y4" s="12">
        <v>0</v>
      </c>
      <c r="Z4" s="12">
        <v>0</v>
      </c>
      <c r="AA4" s="12">
        <v>0</v>
      </c>
      <c r="AB4" s="12">
        <v>0</v>
      </c>
      <c r="AC4" s="12">
        <v>0</v>
      </c>
      <c r="AD4" s="12">
        <v>0</v>
      </c>
      <c r="AE4" s="12">
        <v>0</v>
      </c>
      <c r="AF4" s="12">
        <v>0</v>
      </c>
      <c r="AG4" s="13">
        <f>SUM(F4:AF4)</f>
        <v>1111980</v>
      </c>
    </row>
    <row r="5" spans="1:33" ht="12.75">
      <c r="A5" s="7" t="s">
        <v>6</v>
      </c>
      <c r="B5" s="8" t="s">
        <v>7</v>
      </c>
      <c r="C5" s="8" t="s">
        <v>5</v>
      </c>
      <c r="D5" s="9">
        <f>VLOOKUP(A5,'ACCESS alloactions'!$A$2:$B$62,2,FALSE)</f>
        <v>6863927.1</v>
      </c>
      <c r="E5" s="10">
        <f aca="true" t="shared" si="0" ref="E5:E65">D5-SUM(F5:AE5)</f>
        <v>0.09999999962747097</v>
      </c>
      <c r="F5" s="12">
        <v>478012</v>
      </c>
      <c r="G5" s="12">
        <v>478012</v>
      </c>
      <c r="H5" s="12">
        <v>478012</v>
      </c>
      <c r="I5" s="12">
        <v>478012</v>
      </c>
      <c r="J5" s="12">
        <v>336212</v>
      </c>
      <c r="K5" s="12">
        <v>478012</v>
      </c>
      <c r="L5" s="12">
        <v>478012</v>
      </c>
      <c r="M5" s="12">
        <v>478012</v>
      </c>
      <c r="N5" s="12">
        <v>645134</v>
      </c>
      <c r="O5" s="12">
        <v>0</v>
      </c>
      <c r="P5" s="12">
        <v>1808797</v>
      </c>
      <c r="Q5" s="12">
        <v>0</v>
      </c>
      <c r="R5" s="12">
        <v>0</v>
      </c>
      <c r="S5" s="12">
        <v>0</v>
      </c>
      <c r="T5" s="12">
        <v>0</v>
      </c>
      <c r="U5" s="12">
        <v>0</v>
      </c>
      <c r="V5" s="12">
        <v>0</v>
      </c>
      <c r="W5" s="12">
        <v>0</v>
      </c>
      <c r="X5" s="12">
        <v>727700</v>
      </c>
      <c r="Y5" s="12">
        <v>0</v>
      </c>
      <c r="Z5" s="12">
        <v>0</v>
      </c>
      <c r="AA5" s="12">
        <v>0</v>
      </c>
      <c r="AB5" s="12">
        <v>0</v>
      </c>
      <c r="AC5" s="12">
        <v>0</v>
      </c>
      <c r="AD5" s="12">
        <v>0</v>
      </c>
      <c r="AE5" s="12">
        <v>0</v>
      </c>
      <c r="AF5" s="12">
        <v>0</v>
      </c>
      <c r="AG5" s="13">
        <f aca="true" t="shared" si="1" ref="AG5:AG65">SUM(F5:AF5)</f>
        <v>6863927</v>
      </c>
    </row>
    <row r="6" spans="1:33" ht="12.75">
      <c r="A6" s="7" t="s">
        <v>8</v>
      </c>
      <c r="B6" s="8" t="s">
        <v>9</v>
      </c>
      <c r="C6" s="8" t="s">
        <v>5</v>
      </c>
      <c r="D6" s="9">
        <f>VLOOKUP(A6,'ACCESS alloactions'!$A$2:$B$62,2,FALSE)</f>
        <v>1453880.7</v>
      </c>
      <c r="E6" s="10">
        <f t="shared" si="0"/>
        <v>-0.30000000004656613</v>
      </c>
      <c r="F6" s="12">
        <v>44647</v>
      </c>
      <c r="G6" s="12">
        <v>44647</v>
      </c>
      <c r="H6" s="12">
        <v>44647</v>
      </c>
      <c r="I6" s="12">
        <v>44647</v>
      </c>
      <c r="J6" s="12">
        <v>44647</v>
      </c>
      <c r="K6" s="12">
        <v>44647</v>
      </c>
      <c r="L6" s="12">
        <v>0</v>
      </c>
      <c r="M6" s="12">
        <v>0</v>
      </c>
      <c r="N6" s="12">
        <v>112909</v>
      </c>
      <c r="O6" s="12">
        <v>466587</v>
      </c>
      <c r="P6" s="12">
        <v>102328</v>
      </c>
      <c r="Q6" s="12">
        <v>196779</v>
      </c>
      <c r="R6" s="12">
        <v>208638</v>
      </c>
      <c r="S6" s="12">
        <v>98758</v>
      </c>
      <c r="T6" s="12">
        <v>0</v>
      </c>
      <c r="U6" s="12">
        <v>0</v>
      </c>
      <c r="V6" s="12">
        <v>0</v>
      </c>
      <c r="W6" s="12">
        <v>0</v>
      </c>
      <c r="X6" s="12">
        <v>0</v>
      </c>
      <c r="Y6" s="12">
        <v>0</v>
      </c>
      <c r="Z6" s="12">
        <v>0</v>
      </c>
      <c r="AA6" s="12">
        <v>0</v>
      </c>
      <c r="AB6" s="12">
        <v>0</v>
      </c>
      <c r="AC6" s="12">
        <v>0</v>
      </c>
      <c r="AD6" s="12">
        <v>0</v>
      </c>
      <c r="AE6" s="12">
        <v>0</v>
      </c>
      <c r="AF6" s="12">
        <v>0</v>
      </c>
      <c r="AG6" s="13">
        <f t="shared" si="1"/>
        <v>1453881</v>
      </c>
    </row>
    <row r="7" spans="1:33" ht="12.75">
      <c r="A7" s="7" t="s">
        <v>10</v>
      </c>
      <c r="B7" s="8" t="s">
        <v>11</v>
      </c>
      <c r="C7" s="8" t="s">
        <v>5</v>
      </c>
      <c r="D7" s="9">
        <f>VLOOKUP(A7,'ACCESS alloactions'!$A$2:$B$62,2,FALSE)</f>
        <v>1986931.6</v>
      </c>
      <c r="E7" s="10">
        <f t="shared" si="0"/>
        <v>-0.39999999990686774</v>
      </c>
      <c r="F7" s="12">
        <v>101625</v>
      </c>
      <c r="G7" s="12">
        <v>101625</v>
      </c>
      <c r="H7" s="12">
        <v>101625</v>
      </c>
      <c r="I7" s="12">
        <v>101625</v>
      </c>
      <c r="J7" s="12">
        <v>101625</v>
      </c>
      <c r="K7" s="12">
        <v>101625</v>
      </c>
      <c r="L7" s="12">
        <v>101625</v>
      </c>
      <c r="M7" s="12">
        <v>101625</v>
      </c>
      <c r="N7" s="12">
        <v>49232</v>
      </c>
      <c r="O7" s="12">
        <v>101625</v>
      </c>
      <c r="P7" s="12">
        <v>101625</v>
      </c>
      <c r="Q7" s="12">
        <v>446889</v>
      </c>
      <c r="R7" s="12">
        <v>0</v>
      </c>
      <c r="S7" s="12">
        <v>0</v>
      </c>
      <c r="T7" s="12">
        <v>0</v>
      </c>
      <c r="U7" s="12">
        <v>0</v>
      </c>
      <c r="V7" s="12">
        <v>0</v>
      </c>
      <c r="W7" s="12">
        <v>92634</v>
      </c>
      <c r="X7" s="12">
        <v>381927</v>
      </c>
      <c r="Y7" s="12">
        <v>0</v>
      </c>
      <c r="Z7" s="12">
        <v>0</v>
      </c>
      <c r="AA7" s="12">
        <v>0</v>
      </c>
      <c r="AB7" s="12">
        <v>0</v>
      </c>
      <c r="AC7" s="12">
        <v>0</v>
      </c>
      <c r="AD7" s="12">
        <v>0</v>
      </c>
      <c r="AE7" s="12">
        <v>0</v>
      </c>
      <c r="AF7" s="12">
        <v>0</v>
      </c>
      <c r="AG7" s="13">
        <f t="shared" si="1"/>
        <v>1986932</v>
      </c>
    </row>
    <row r="8" spans="1:33" ht="12.75">
      <c r="A8" s="7" t="s">
        <v>12</v>
      </c>
      <c r="B8" s="8" t="s">
        <v>13</v>
      </c>
      <c r="C8" s="8" t="s">
        <v>5</v>
      </c>
      <c r="D8" s="9">
        <f>VLOOKUP(A8,'ACCESS alloactions'!$A$2:$B$62,2,FALSE)</f>
        <v>2066535.1</v>
      </c>
      <c r="E8" s="10">
        <f t="shared" si="0"/>
        <v>0.10000000009313226</v>
      </c>
      <c r="F8" s="12">
        <v>107540</v>
      </c>
      <c r="G8" s="12">
        <v>107540</v>
      </c>
      <c r="H8" s="12">
        <v>107540</v>
      </c>
      <c r="I8" s="12">
        <v>107540</v>
      </c>
      <c r="J8" s="12">
        <v>107540</v>
      </c>
      <c r="K8" s="12">
        <v>107540</v>
      </c>
      <c r="L8" s="12">
        <v>107540</v>
      </c>
      <c r="M8" s="12">
        <v>107540</v>
      </c>
      <c r="N8" s="12">
        <v>107540</v>
      </c>
      <c r="O8" s="12">
        <v>0</v>
      </c>
      <c r="P8" s="12">
        <v>0</v>
      </c>
      <c r="Q8" s="12">
        <v>572579</v>
      </c>
      <c r="R8" s="12">
        <v>0</v>
      </c>
      <c r="S8" s="12">
        <v>0</v>
      </c>
      <c r="T8" s="12">
        <v>0</v>
      </c>
      <c r="U8" s="12">
        <v>0</v>
      </c>
      <c r="V8" s="12">
        <v>526096</v>
      </c>
      <c r="W8" s="12">
        <v>0</v>
      </c>
      <c r="X8" s="12">
        <v>0</v>
      </c>
      <c r="Y8" s="12">
        <v>0</v>
      </c>
      <c r="Z8" s="12">
        <v>0</v>
      </c>
      <c r="AA8" s="12">
        <v>0</v>
      </c>
      <c r="AB8" s="12">
        <v>0</v>
      </c>
      <c r="AC8" s="12">
        <v>0</v>
      </c>
      <c r="AD8" s="12">
        <v>0</v>
      </c>
      <c r="AE8" s="12">
        <v>0</v>
      </c>
      <c r="AF8" s="12">
        <v>0</v>
      </c>
      <c r="AG8" s="13">
        <f t="shared" si="1"/>
        <v>2066535</v>
      </c>
    </row>
    <row r="9" spans="1:33" ht="12.75">
      <c r="A9" s="7" t="s">
        <v>14</v>
      </c>
      <c r="B9" s="8" t="s">
        <v>15</v>
      </c>
      <c r="C9" s="8" t="s">
        <v>16</v>
      </c>
      <c r="D9" s="9">
        <f>VLOOKUP(A9,'ACCESS alloactions'!$A$2:$B$62,2,FALSE)</f>
        <v>827477.8</v>
      </c>
      <c r="E9" s="10">
        <f t="shared" si="0"/>
        <v>-0.19999999995343387</v>
      </c>
      <c r="F9" s="12">
        <v>59842</v>
      </c>
      <c r="G9" s="12">
        <v>59842</v>
      </c>
      <c r="H9" s="12">
        <v>59842</v>
      </c>
      <c r="I9" s="12">
        <v>59842</v>
      </c>
      <c r="J9" s="12">
        <v>59842</v>
      </c>
      <c r="K9" s="12">
        <v>59842</v>
      </c>
      <c r="L9" s="12">
        <v>59842</v>
      </c>
      <c r="M9" s="12">
        <v>59842</v>
      </c>
      <c r="N9" s="12">
        <v>0</v>
      </c>
      <c r="O9" s="12">
        <v>1765</v>
      </c>
      <c r="P9" s="12">
        <f>59842+66204</f>
        <v>126046</v>
      </c>
      <c r="Q9" s="12">
        <v>0</v>
      </c>
      <c r="R9" s="12">
        <v>0</v>
      </c>
      <c r="S9" s="12">
        <v>57621</v>
      </c>
      <c r="T9" s="12">
        <v>0</v>
      </c>
      <c r="U9" s="12">
        <v>0</v>
      </c>
      <c r="V9" s="12">
        <v>163310</v>
      </c>
      <c r="W9" s="12">
        <v>0</v>
      </c>
      <c r="X9" s="12">
        <v>0</v>
      </c>
      <c r="Y9" s="12">
        <v>0</v>
      </c>
      <c r="Z9" s="12">
        <v>0</v>
      </c>
      <c r="AA9" s="12">
        <v>0</v>
      </c>
      <c r="AB9" s="12">
        <v>0</v>
      </c>
      <c r="AC9" s="12">
        <v>0</v>
      </c>
      <c r="AD9" s="12">
        <v>0</v>
      </c>
      <c r="AE9" s="12">
        <v>0</v>
      </c>
      <c r="AF9" s="12">
        <v>0</v>
      </c>
      <c r="AG9" s="13">
        <f t="shared" si="1"/>
        <v>827478</v>
      </c>
    </row>
    <row r="10" spans="1:33" ht="12.75">
      <c r="A10" s="7" t="s">
        <v>17</v>
      </c>
      <c r="B10" s="8" t="s">
        <v>18</v>
      </c>
      <c r="C10" s="8" t="s">
        <v>16</v>
      </c>
      <c r="D10" s="9">
        <f>VLOOKUP(A10,'ACCESS alloactions'!$A$2:$B$62,2,FALSE)</f>
        <v>381627.4</v>
      </c>
      <c r="E10" s="10">
        <f t="shared" si="0"/>
        <v>0.40000000002328306</v>
      </c>
      <c r="F10" s="12">
        <v>23843</v>
      </c>
      <c r="G10" s="12">
        <v>23843</v>
      </c>
      <c r="H10" s="12">
        <v>23843</v>
      </c>
      <c r="I10" s="12">
        <v>23843</v>
      </c>
      <c r="J10" s="12">
        <v>23843</v>
      </c>
      <c r="K10" s="12">
        <v>23843</v>
      </c>
      <c r="L10" s="12">
        <v>23843</v>
      </c>
      <c r="M10" s="12">
        <v>23843</v>
      </c>
      <c r="N10" s="12">
        <v>23843</v>
      </c>
      <c r="O10" s="12">
        <v>0</v>
      </c>
      <c r="P10" s="12">
        <v>0</v>
      </c>
      <c r="Q10" s="12">
        <v>0</v>
      </c>
      <c r="R10" s="12">
        <v>0</v>
      </c>
      <c r="S10" s="12">
        <v>0</v>
      </c>
      <c r="T10" s="12">
        <v>0</v>
      </c>
      <c r="U10" s="12">
        <f>56181-42642</f>
        <v>13539</v>
      </c>
      <c r="V10" s="12">
        <v>0</v>
      </c>
      <c r="W10" s="12">
        <v>0</v>
      </c>
      <c r="X10" s="12">
        <v>153501</v>
      </c>
      <c r="Y10" s="12">
        <v>0</v>
      </c>
      <c r="Z10" s="12">
        <v>0</v>
      </c>
      <c r="AA10" s="12">
        <v>0</v>
      </c>
      <c r="AB10" s="12">
        <v>0</v>
      </c>
      <c r="AC10" s="12">
        <v>0</v>
      </c>
      <c r="AD10" s="12">
        <v>0</v>
      </c>
      <c r="AE10" s="12">
        <v>0</v>
      </c>
      <c r="AF10" s="12">
        <v>0</v>
      </c>
      <c r="AG10" s="13">
        <f t="shared" si="1"/>
        <v>381627</v>
      </c>
    </row>
    <row r="11" spans="1:33" ht="12.75">
      <c r="A11" s="7" t="s">
        <v>19</v>
      </c>
      <c r="B11" s="8" t="s">
        <v>20</v>
      </c>
      <c r="C11" s="8" t="s">
        <v>16</v>
      </c>
      <c r="D11" s="9">
        <f>VLOOKUP(A11,'ACCESS alloactions'!$A$2:$B$62,2,FALSE)</f>
        <v>8966087.1</v>
      </c>
      <c r="E11" s="10">
        <f t="shared" si="0"/>
        <v>0.09999999962747097</v>
      </c>
      <c r="F11" s="12">
        <v>595513</v>
      </c>
      <c r="G11" s="12">
        <v>595513</v>
      </c>
      <c r="H11" s="12">
        <v>595513</v>
      </c>
      <c r="I11" s="12">
        <v>595513</v>
      </c>
      <c r="J11" s="12">
        <v>595513</v>
      </c>
      <c r="K11" s="12">
        <v>595513</v>
      </c>
      <c r="L11" s="12">
        <v>595513</v>
      </c>
      <c r="M11" s="12">
        <v>595513</v>
      </c>
      <c r="N11" s="12">
        <v>315516</v>
      </c>
      <c r="O11" s="12">
        <v>1473983</v>
      </c>
      <c r="P11" s="12">
        <v>683360</v>
      </c>
      <c r="Q11" s="12">
        <v>683365</v>
      </c>
      <c r="R11" s="12">
        <v>0</v>
      </c>
      <c r="S11" s="12">
        <v>0</v>
      </c>
      <c r="T11" s="12">
        <v>0</v>
      </c>
      <c r="U11" s="12">
        <v>419117</v>
      </c>
      <c r="V11" s="12">
        <v>0</v>
      </c>
      <c r="W11" s="12">
        <v>0</v>
      </c>
      <c r="X11" s="12">
        <v>626642</v>
      </c>
      <c r="Y11" s="12">
        <v>0</v>
      </c>
      <c r="Z11" s="12">
        <v>0</v>
      </c>
      <c r="AA11" s="12">
        <v>0</v>
      </c>
      <c r="AB11" s="12">
        <v>0</v>
      </c>
      <c r="AC11" s="12">
        <v>0</v>
      </c>
      <c r="AD11" s="12">
        <v>0</v>
      </c>
      <c r="AE11" s="12">
        <v>0</v>
      </c>
      <c r="AF11" s="12">
        <v>0</v>
      </c>
      <c r="AG11" s="13">
        <f t="shared" si="1"/>
        <v>8966087</v>
      </c>
    </row>
    <row r="12" spans="1:33" ht="12.75">
      <c r="A12" s="7" t="s">
        <v>21</v>
      </c>
      <c r="B12" s="8" t="s">
        <v>22</v>
      </c>
      <c r="C12" s="8" t="s">
        <v>16</v>
      </c>
      <c r="D12" s="9">
        <f>VLOOKUP(A12,'ACCESS alloactions'!$A$2:$B$62,2,FALSE)</f>
        <v>2760172</v>
      </c>
      <c r="E12" s="10">
        <f t="shared" si="0"/>
        <v>0</v>
      </c>
      <c r="F12" s="12">
        <v>168095</v>
      </c>
      <c r="G12" s="12">
        <v>168095</v>
      </c>
      <c r="H12" s="12">
        <v>168095</v>
      </c>
      <c r="I12" s="12">
        <v>168095</v>
      </c>
      <c r="J12" s="12">
        <v>168095</v>
      </c>
      <c r="K12" s="12">
        <v>0</v>
      </c>
      <c r="L12" s="12">
        <v>0</v>
      </c>
      <c r="M12" s="12">
        <v>0</v>
      </c>
      <c r="N12" s="12">
        <v>0</v>
      </c>
      <c r="O12" s="12">
        <v>19297</v>
      </c>
      <c r="P12" s="12">
        <f>177772+177775</f>
        <v>355547</v>
      </c>
      <c r="Q12" s="12">
        <v>0</v>
      </c>
      <c r="R12" s="12">
        <v>0</v>
      </c>
      <c r="S12" s="12">
        <v>0</v>
      </c>
      <c r="T12" s="12">
        <v>0</v>
      </c>
      <c r="U12" s="12">
        <f>117606-1656</f>
        <v>115950</v>
      </c>
      <c r="V12" s="12">
        <v>0</v>
      </c>
      <c r="W12" s="12">
        <v>0</v>
      </c>
      <c r="X12" s="12">
        <v>1267469</v>
      </c>
      <c r="Y12" s="12">
        <v>161434</v>
      </c>
      <c r="Z12" s="12">
        <v>0</v>
      </c>
      <c r="AA12" s="12">
        <v>0</v>
      </c>
      <c r="AB12" s="12">
        <v>0</v>
      </c>
      <c r="AC12" s="12">
        <v>0</v>
      </c>
      <c r="AD12" s="12">
        <v>0</v>
      </c>
      <c r="AE12" s="12">
        <v>0</v>
      </c>
      <c r="AF12" s="12">
        <v>0</v>
      </c>
      <c r="AG12" s="13">
        <f t="shared" si="1"/>
        <v>2760172</v>
      </c>
    </row>
    <row r="13" spans="1:33" ht="12.75">
      <c r="A13" s="7" t="s">
        <v>23</v>
      </c>
      <c r="B13" s="8" t="s">
        <v>24</v>
      </c>
      <c r="C13" s="8" t="s">
        <v>16</v>
      </c>
      <c r="D13" s="9">
        <f>VLOOKUP(A13,'ACCESS alloactions'!$A$2:$B$62,2,FALSE)</f>
        <v>7008335.4</v>
      </c>
      <c r="E13" s="10">
        <f t="shared" si="0"/>
        <v>0.40000000037252903</v>
      </c>
      <c r="F13" s="12">
        <v>586636</v>
      </c>
      <c r="G13" s="12">
        <v>586636</v>
      </c>
      <c r="H13" s="12">
        <v>586636</v>
      </c>
      <c r="I13" s="12">
        <v>586636</v>
      </c>
      <c r="J13" s="12">
        <v>586636</v>
      </c>
      <c r="K13" s="12">
        <v>586636</v>
      </c>
      <c r="L13" s="12">
        <v>586636</v>
      </c>
      <c r="M13" s="12">
        <v>586636</v>
      </c>
      <c r="N13" s="12">
        <v>0</v>
      </c>
      <c r="O13" s="12">
        <v>145415</v>
      </c>
      <c r="P13" s="12">
        <v>586636</v>
      </c>
      <c r="Q13" s="12">
        <v>0</v>
      </c>
      <c r="R13" s="12">
        <v>0</v>
      </c>
      <c r="S13" s="12">
        <v>0</v>
      </c>
      <c r="T13" s="12">
        <v>0</v>
      </c>
      <c r="U13" s="12">
        <v>0</v>
      </c>
      <c r="V13" s="12">
        <v>0</v>
      </c>
      <c r="W13" s="12">
        <v>0</v>
      </c>
      <c r="X13" s="12">
        <v>926092</v>
      </c>
      <c r="Y13" s="12">
        <v>186135</v>
      </c>
      <c r="Z13" s="12">
        <v>186135</v>
      </c>
      <c r="AA13" s="12">
        <v>186135</v>
      </c>
      <c r="AB13" s="12">
        <v>98699</v>
      </c>
      <c r="AC13" s="12">
        <v>0</v>
      </c>
      <c r="AD13" s="12">
        <v>0</v>
      </c>
      <c r="AE13" s="12">
        <v>0</v>
      </c>
      <c r="AF13" s="12">
        <v>0</v>
      </c>
      <c r="AG13" s="13">
        <f t="shared" si="1"/>
        <v>7008335</v>
      </c>
    </row>
    <row r="14" spans="1:33" ht="12.75">
      <c r="A14" s="7" t="s">
        <v>25</v>
      </c>
      <c r="B14" s="8" t="s">
        <v>26</v>
      </c>
      <c r="C14" s="8" t="s">
        <v>27</v>
      </c>
      <c r="D14" s="9">
        <f>VLOOKUP(A14,'ACCESS alloactions'!$A$2:$B$62,2,FALSE)</f>
        <v>4158940.6</v>
      </c>
      <c r="E14" s="10">
        <f t="shared" si="0"/>
        <v>-0.39999999990686774</v>
      </c>
      <c r="F14" s="12">
        <v>264788</v>
      </c>
      <c r="G14" s="12">
        <v>264788</v>
      </c>
      <c r="H14" s="12">
        <v>264788</v>
      </c>
      <c r="I14" s="12">
        <v>0</v>
      </c>
      <c r="J14" s="12">
        <v>529576</v>
      </c>
      <c r="K14" s="12">
        <v>264788</v>
      </c>
      <c r="L14" s="12">
        <v>264788</v>
      </c>
      <c r="M14" s="12">
        <v>264788</v>
      </c>
      <c r="N14" s="12">
        <v>0</v>
      </c>
      <c r="O14" s="12">
        <v>0</v>
      </c>
      <c r="P14" s="12">
        <v>127762</v>
      </c>
      <c r="Q14" s="12">
        <v>0</v>
      </c>
      <c r="R14" s="12">
        <v>0</v>
      </c>
      <c r="S14" s="12">
        <v>0</v>
      </c>
      <c r="T14" s="12">
        <v>0</v>
      </c>
      <c r="U14" s="12">
        <v>523055</v>
      </c>
      <c r="V14" s="12">
        <v>0</v>
      </c>
      <c r="W14" s="12">
        <v>0</v>
      </c>
      <c r="X14" s="12">
        <v>259992</v>
      </c>
      <c r="Y14" s="12">
        <v>1129828</v>
      </c>
      <c r="Z14" s="12">
        <v>0</v>
      </c>
      <c r="AA14" s="12">
        <v>0</v>
      </c>
      <c r="AB14" s="12">
        <v>0</v>
      </c>
      <c r="AC14" s="12">
        <v>0</v>
      </c>
      <c r="AD14" s="12">
        <v>0</v>
      </c>
      <c r="AE14" s="12">
        <v>0</v>
      </c>
      <c r="AF14" s="12">
        <v>0</v>
      </c>
      <c r="AG14" s="13">
        <f t="shared" si="1"/>
        <v>4158941</v>
      </c>
    </row>
    <row r="15" spans="1:33" ht="12.75">
      <c r="A15" s="7" t="s">
        <v>28</v>
      </c>
      <c r="B15" s="8" t="s">
        <v>29</v>
      </c>
      <c r="C15" s="8" t="s">
        <v>27</v>
      </c>
      <c r="D15" s="9">
        <f>VLOOKUP(A15,'ACCESS alloactions'!$A$2:$B$62,2,FALSE)</f>
        <v>5450418.3</v>
      </c>
      <c r="E15" s="10">
        <f t="shared" si="0"/>
        <v>0.2999999998137355</v>
      </c>
      <c r="F15" s="12">
        <v>384562</v>
      </c>
      <c r="G15" s="12">
        <v>384562</v>
      </c>
      <c r="H15" s="12">
        <v>384562</v>
      </c>
      <c r="I15" s="12">
        <v>769124</v>
      </c>
      <c r="J15" s="12">
        <v>0</v>
      </c>
      <c r="K15" s="12">
        <v>384562</v>
      </c>
      <c r="L15" s="12">
        <v>58069</v>
      </c>
      <c r="M15" s="12">
        <v>384562</v>
      </c>
      <c r="N15" s="12">
        <v>384562</v>
      </c>
      <c r="O15" s="12">
        <v>0</v>
      </c>
      <c r="P15" s="12">
        <f>72258+368407</f>
        <v>440665</v>
      </c>
      <c r="Q15" s="12">
        <v>0</v>
      </c>
      <c r="R15" s="12">
        <v>0</v>
      </c>
      <c r="S15" s="12">
        <v>1235028</v>
      </c>
      <c r="T15" s="12">
        <v>640160</v>
      </c>
      <c r="U15" s="12">
        <v>0</v>
      </c>
      <c r="V15" s="12">
        <v>0</v>
      </c>
      <c r="W15" s="12">
        <v>0</v>
      </c>
      <c r="X15" s="12">
        <v>0</v>
      </c>
      <c r="Y15" s="12">
        <v>0</v>
      </c>
      <c r="Z15" s="12">
        <v>0</v>
      </c>
      <c r="AA15" s="12">
        <v>0</v>
      </c>
      <c r="AB15" s="12">
        <v>0</v>
      </c>
      <c r="AC15" s="12">
        <v>0</v>
      </c>
      <c r="AD15" s="12">
        <v>0</v>
      </c>
      <c r="AE15" s="12">
        <v>0</v>
      </c>
      <c r="AF15" s="12">
        <v>0</v>
      </c>
      <c r="AG15" s="13">
        <f t="shared" si="1"/>
        <v>5450418</v>
      </c>
    </row>
    <row r="16" spans="1:33" ht="12.75">
      <c r="A16" s="7" t="s">
        <v>30</v>
      </c>
      <c r="B16" s="8" t="s">
        <v>31</v>
      </c>
      <c r="C16" s="8" t="s">
        <v>32</v>
      </c>
      <c r="D16" s="9">
        <f>VLOOKUP(A16,'ACCESS alloactions'!$A$2:$B$62,2,FALSE)</f>
        <v>996066.4</v>
      </c>
      <c r="E16" s="10">
        <f t="shared" si="0"/>
        <v>0.40000000002328306</v>
      </c>
      <c r="F16" s="12">
        <v>77857</v>
      </c>
      <c r="G16" s="12">
        <v>77857</v>
      </c>
      <c r="H16" s="12">
        <v>77857</v>
      </c>
      <c r="I16" s="12">
        <v>77857</v>
      </c>
      <c r="J16" s="12">
        <v>77857</v>
      </c>
      <c r="K16" s="12">
        <v>77857</v>
      </c>
      <c r="L16" s="12">
        <v>77857</v>
      </c>
      <c r="M16" s="12">
        <v>0</v>
      </c>
      <c r="N16" s="12">
        <v>9603</v>
      </c>
      <c r="O16" s="12">
        <v>0</v>
      </c>
      <c r="P16" s="12">
        <f>69436+63080</f>
        <v>132516</v>
      </c>
      <c r="Q16" s="12">
        <v>19353</v>
      </c>
      <c r="R16" s="12">
        <v>27225</v>
      </c>
      <c r="S16" s="12">
        <v>0</v>
      </c>
      <c r="T16" s="12">
        <v>0</v>
      </c>
      <c r="U16" s="12">
        <v>0</v>
      </c>
      <c r="V16" s="12">
        <v>262370</v>
      </c>
      <c r="W16" s="12">
        <v>0</v>
      </c>
      <c r="X16" s="12">
        <v>0</v>
      </c>
      <c r="Y16" s="12">
        <v>0</v>
      </c>
      <c r="Z16" s="12">
        <v>0</v>
      </c>
      <c r="AA16" s="12">
        <v>0</v>
      </c>
      <c r="AB16" s="12">
        <v>0</v>
      </c>
      <c r="AC16" s="12">
        <v>0</v>
      </c>
      <c r="AD16" s="12">
        <v>0</v>
      </c>
      <c r="AE16" s="12">
        <v>0</v>
      </c>
      <c r="AF16" s="12">
        <v>0</v>
      </c>
      <c r="AG16" s="13">
        <f t="shared" si="1"/>
        <v>996066</v>
      </c>
    </row>
    <row r="17" spans="1:33" ht="12.75">
      <c r="A17" s="7" t="s">
        <v>33</v>
      </c>
      <c r="B17" s="8" t="s">
        <v>34</v>
      </c>
      <c r="C17" s="8" t="s">
        <v>35</v>
      </c>
      <c r="D17" s="9">
        <f>VLOOKUP(A17,'ACCESS alloactions'!$A$2:$B$62,2,FALSE)</f>
        <v>15945371.9</v>
      </c>
      <c r="E17" s="10">
        <f t="shared" si="0"/>
        <v>-0.09999999962747097</v>
      </c>
      <c r="F17" s="12">
        <v>988937</v>
      </c>
      <c r="G17" s="12">
        <v>988937</v>
      </c>
      <c r="H17" s="12">
        <v>988937</v>
      </c>
      <c r="I17" s="12">
        <v>988937</v>
      </c>
      <c r="J17" s="12">
        <v>988937</v>
      </c>
      <c r="K17" s="12">
        <v>988937</v>
      </c>
      <c r="L17" s="12">
        <v>988937</v>
      </c>
      <c r="M17" s="12">
        <v>988937</v>
      </c>
      <c r="N17" s="12">
        <v>0</v>
      </c>
      <c r="O17" s="12">
        <v>0</v>
      </c>
      <c r="P17" s="12">
        <f>903045+1080808</f>
        <v>1983853</v>
      </c>
      <c r="Q17" s="12">
        <v>0</v>
      </c>
      <c r="R17" s="12">
        <v>0</v>
      </c>
      <c r="S17" s="12">
        <v>764740</v>
      </c>
      <c r="T17" s="12">
        <v>0</v>
      </c>
      <c r="U17" s="12">
        <v>0</v>
      </c>
      <c r="V17" s="12">
        <v>5270025</v>
      </c>
      <c r="W17" s="12">
        <v>15258</v>
      </c>
      <c r="X17" s="12">
        <v>0</v>
      </c>
      <c r="Y17" s="12">
        <v>0</v>
      </c>
      <c r="Z17" s="12">
        <v>0</v>
      </c>
      <c r="AA17" s="12">
        <v>0</v>
      </c>
      <c r="AB17" s="12">
        <v>0</v>
      </c>
      <c r="AC17" s="12">
        <v>0</v>
      </c>
      <c r="AD17" s="12">
        <v>0</v>
      </c>
      <c r="AE17" s="12">
        <v>0</v>
      </c>
      <c r="AF17" s="12">
        <v>0</v>
      </c>
      <c r="AG17" s="13">
        <f t="shared" si="1"/>
        <v>15945372</v>
      </c>
    </row>
    <row r="18" spans="1:33" ht="12.75">
      <c r="A18" s="7" t="s">
        <v>36</v>
      </c>
      <c r="B18" s="8" t="s">
        <v>37</v>
      </c>
      <c r="C18" s="8" t="s">
        <v>38</v>
      </c>
      <c r="D18" s="9">
        <f>VLOOKUP(A18,'ACCESS alloactions'!$A$2:$B$62,2,FALSE)</f>
        <v>8232608.5</v>
      </c>
      <c r="E18" s="10">
        <f t="shared" si="0"/>
        <v>-0.5</v>
      </c>
      <c r="F18" s="12">
        <v>535228</v>
      </c>
      <c r="G18" s="12">
        <v>535228</v>
      </c>
      <c r="H18" s="12">
        <v>535228</v>
      </c>
      <c r="I18" s="12">
        <v>535228</v>
      </c>
      <c r="J18" s="12">
        <v>535228</v>
      </c>
      <c r="K18" s="12">
        <v>535228</v>
      </c>
      <c r="L18" s="12">
        <v>535228</v>
      </c>
      <c r="M18" s="12">
        <v>535228</v>
      </c>
      <c r="N18" s="12">
        <v>293845</v>
      </c>
      <c r="O18" s="12">
        <v>535228</v>
      </c>
      <c r="P18" s="12">
        <v>1003569</v>
      </c>
      <c r="Q18" s="12">
        <v>587577</v>
      </c>
      <c r="R18" s="12">
        <v>28871</v>
      </c>
      <c r="S18" s="12">
        <v>0</v>
      </c>
      <c r="T18" s="12">
        <v>0</v>
      </c>
      <c r="U18" s="12">
        <v>0</v>
      </c>
      <c r="V18" s="12">
        <v>1501695</v>
      </c>
      <c r="W18" s="12">
        <v>0</v>
      </c>
      <c r="X18" s="12">
        <v>0</v>
      </c>
      <c r="Y18" s="12">
        <v>0</v>
      </c>
      <c r="Z18" s="12">
        <v>0</v>
      </c>
      <c r="AA18" s="12">
        <v>0</v>
      </c>
      <c r="AB18" s="12">
        <v>0</v>
      </c>
      <c r="AC18" s="12">
        <v>0</v>
      </c>
      <c r="AD18" s="12">
        <v>0</v>
      </c>
      <c r="AE18" s="12">
        <v>0</v>
      </c>
      <c r="AF18" s="12">
        <v>0</v>
      </c>
      <c r="AG18" s="13">
        <f t="shared" si="1"/>
        <v>8232609</v>
      </c>
    </row>
    <row r="19" spans="1:33" ht="12.75">
      <c r="A19" s="7" t="s">
        <v>39</v>
      </c>
      <c r="B19" s="8" t="s">
        <v>40</v>
      </c>
      <c r="C19" s="8" t="s">
        <v>41</v>
      </c>
      <c r="D19" s="9">
        <f>VLOOKUP(A19,'ACCESS alloactions'!$A$2:$B$62,2,FALSE)</f>
        <v>2230637.2</v>
      </c>
      <c r="E19" s="10">
        <f t="shared" si="0"/>
        <v>0.20000000018626451</v>
      </c>
      <c r="F19" s="12">
        <v>120443</v>
      </c>
      <c r="G19" s="12">
        <v>120443</v>
      </c>
      <c r="H19" s="12">
        <v>120443</v>
      </c>
      <c r="I19" s="12">
        <v>120443</v>
      </c>
      <c r="J19" s="12">
        <v>120443</v>
      </c>
      <c r="K19" s="12">
        <v>120443</v>
      </c>
      <c r="L19" s="12">
        <v>120443</v>
      </c>
      <c r="M19" s="12">
        <v>120443</v>
      </c>
      <c r="N19" s="12">
        <v>0</v>
      </c>
      <c r="O19" s="12">
        <v>102798</v>
      </c>
      <c r="P19" s="12">
        <v>120443</v>
      </c>
      <c r="Q19" s="12">
        <v>0</v>
      </c>
      <c r="R19" s="12">
        <v>0</v>
      </c>
      <c r="S19" s="12">
        <v>0</v>
      </c>
      <c r="T19" s="12">
        <v>556945</v>
      </c>
      <c r="U19" s="12">
        <v>0</v>
      </c>
      <c r="V19" s="12">
        <v>381495</v>
      </c>
      <c r="W19" s="12">
        <v>76299</v>
      </c>
      <c r="X19" s="12">
        <v>29113</v>
      </c>
      <c r="Y19" s="12">
        <v>0</v>
      </c>
      <c r="Z19" s="12">
        <v>0</v>
      </c>
      <c r="AA19" s="12">
        <v>0</v>
      </c>
      <c r="AB19" s="12">
        <v>0</v>
      </c>
      <c r="AC19" s="12">
        <v>0</v>
      </c>
      <c r="AD19" s="12">
        <v>0</v>
      </c>
      <c r="AE19" s="12">
        <v>0</v>
      </c>
      <c r="AF19" s="12">
        <v>0</v>
      </c>
      <c r="AG19" s="13">
        <f t="shared" si="1"/>
        <v>2230637</v>
      </c>
    </row>
    <row r="20" spans="1:33" ht="12.75">
      <c r="A20" s="7" t="s">
        <v>42</v>
      </c>
      <c r="B20" s="8" t="s">
        <v>43</v>
      </c>
      <c r="C20" s="8" t="s">
        <v>41</v>
      </c>
      <c r="D20" s="9">
        <f>VLOOKUP(A20,'ACCESS alloactions'!$A$2:$B$62,2,FALSE)</f>
        <v>1633561.7</v>
      </c>
      <c r="E20" s="10">
        <f t="shared" si="0"/>
        <v>-0.30000000004656613</v>
      </c>
      <c r="F20" s="12">
        <v>127527</v>
      </c>
      <c r="G20" s="12">
        <v>127527</v>
      </c>
      <c r="H20" s="12">
        <v>127527</v>
      </c>
      <c r="I20" s="12">
        <v>127527</v>
      </c>
      <c r="J20" s="12">
        <v>127527</v>
      </c>
      <c r="K20" s="12">
        <v>127527</v>
      </c>
      <c r="L20" s="12">
        <v>127527</v>
      </c>
      <c r="M20" s="12">
        <v>0</v>
      </c>
      <c r="N20" s="12">
        <v>98575</v>
      </c>
      <c r="O20" s="12">
        <v>127527</v>
      </c>
      <c r="P20" s="12">
        <v>196744</v>
      </c>
      <c r="Q20" s="12">
        <v>133160</v>
      </c>
      <c r="R20" s="12">
        <v>0</v>
      </c>
      <c r="S20" s="12">
        <v>0</v>
      </c>
      <c r="T20" s="12">
        <v>0</v>
      </c>
      <c r="U20" s="12">
        <v>0</v>
      </c>
      <c r="V20" s="12">
        <v>0</v>
      </c>
      <c r="W20" s="12">
        <v>0</v>
      </c>
      <c r="X20" s="12">
        <v>184867</v>
      </c>
      <c r="Y20" s="12">
        <v>0</v>
      </c>
      <c r="Z20" s="12">
        <v>0</v>
      </c>
      <c r="AA20" s="12">
        <v>0</v>
      </c>
      <c r="AB20" s="12">
        <v>0</v>
      </c>
      <c r="AC20" s="12">
        <v>0</v>
      </c>
      <c r="AD20" s="12">
        <v>0</v>
      </c>
      <c r="AE20" s="12">
        <v>0</v>
      </c>
      <c r="AF20" s="12">
        <v>0</v>
      </c>
      <c r="AG20" s="13">
        <f t="shared" si="1"/>
        <v>1633562</v>
      </c>
    </row>
    <row r="21" spans="1:33" ht="12.75">
      <c r="A21" s="7" t="s">
        <v>44</v>
      </c>
      <c r="B21" s="8" t="s">
        <v>45</v>
      </c>
      <c r="C21" s="8" t="s">
        <v>41</v>
      </c>
      <c r="D21" s="9">
        <f>VLOOKUP(A21,'ACCESS alloactions'!$A$2:$B$62,2,FALSE)</f>
        <v>1149276.7</v>
      </c>
      <c r="E21" s="10">
        <f t="shared" si="0"/>
        <v>-0.30000000004656613</v>
      </c>
      <c r="F21" s="12">
        <v>80700</v>
      </c>
      <c r="G21" s="12">
        <v>80700</v>
      </c>
      <c r="H21" s="12">
        <v>80700</v>
      </c>
      <c r="I21" s="12">
        <v>80700</v>
      </c>
      <c r="J21" s="12">
        <v>80700</v>
      </c>
      <c r="K21" s="12">
        <v>80700</v>
      </c>
      <c r="L21" s="12">
        <v>80700</v>
      </c>
      <c r="M21" s="12">
        <v>80700</v>
      </c>
      <c r="N21" s="12">
        <v>36165</v>
      </c>
      <c r="O21" s="12">
        <v>80700</v>
      </c>
      <c r="P21" s="12">
        <f>80700+222480</f>
        <v>303180</v>
      </c>
      <c r="Q21" s="12">
        <v>0</v>
      </c>
      <c r="R21" s="12">
        <v>0</v>
      </c>
      <c r="S21" s="12">
        <v>0</v>
      </c>
      <c r="T21" s="12">
        <v>83632</v>
      </c>
      <c r="U21" s="12">
        <v>0</v>
      </c>
      <c r="V21" s="12">
        <v>0</v>
      </c>
      <c r="W21" s="12">
        <v>0</v>
      </c>
      <c r="X21" s="12">
        <v>0</v>
      </c>
      <c r="Y21" s="12">
        <v>0</v>
      </c>
      <c r="Z21" s="12">
        <v>0</v>
      </c>
      <c r="AA21" s="12">
        <v>0</v>
      </c>
      <c r="AB21" s="12">
        <v>0</v>
      </c>
      <c r="AC21" s="12">
        <v>0</v>
      </c>
      <c r="AD21" s="12">
        <v>0</v>
      </c>
      <c r="AE21" s="12">
        <v>0</v>
      </c>
      <c r="AF21" s="12">
        <v>0</v>
      </c>
      <c r="AG21" s="13">
        <f t="shared" si="1"/>
        <v>1149277</v>
      </c>
    </row>
    <row r="22" spans="1:33" ht="12.75">
      <c r="A22" s="7" t="s">
        <v>46</v>
      </c>
      <c r="B22" s="8" t="s">
        <v>47</v>
      </c>
      <c r="C22" s="8" t="s">
        <v>41</v>
      </c>
      <c r="D22" s="9">
        <f>VLOOKUP(A22,'ACCESS alloactions'!$A$2:$B$62,2,FALSE)</f>
        <v>5943863.2</v>
      </c>
      <c r="E22" s="10">
        <f t="shared" si="0"/>
        <v>0.20000000018626451</v>
      </c>
      <c r="F22" s="12">
        <v>403394</v>
      </c>
      <c r="G22" s="12">
        <v>403394</v>
      </c>
      <c r="H22" s="12">
        <v>403394</v>
      </c>
      <c r="I22" s="12">
        <v>403394</v>
      </c>
      <c r="J22" s="12">
        <v>403394</v>
      </c>
      <c r="K22" s="12">
        <v>403394</v>
      </c>
      <c r="L22" s="12">
        <v>403394</v>
      </c>
      <c r="M22" s="12">
        <v>403394</v>
      </c>
      <c r="N22" s="12">
        <v>0</v>
      </c>
      <c r="O22" s="12">
        <v>44117</v>
      </c>
      <c r="P22" s="12">
        <f>403394+242234</f>
        <v>645628</v>
      </c>
      <c r="Q22" s="12">
        <v>0</v>
      </c>
      <c r="R22" s="12">
        <v>976979</v>
      </c>
      <c r="S22" s="12">
        <v>137337</v>
      </c>
      <c r="T22" s="12">
        <v>0</v>
      </c>
      <c r="U22" s="12">
        <v>0</v>
      </c>
      <c r="V22" s="12">
        <v>912650</v>
      </c>
      <c r="W22" s="12">
        <v>0</v>
      </c>
      <c r="X22" s="12">
        <v>0</v>
      </c>
      <c r="Y22" s="12">
        <v>0</v>
      </c>
      <c r="Z22" s="12">
        <v>0</v>
      </c>
      <c r="AA22" s="12">
        <v>0</v>
      </c>
      <c r="AB22" s="12">
        <v>0</v>
      </c>
      <c r="AC22" s="12">
        <v>0</v>
      </c>
      <c r="AD22" s="12">
        <v>0</v>
      </c>
      <c r="AE22" s="12">
        <v>0</v>
      </c>
      <c r="AF22" s="12">
        <v>0</v>
      </c>
      <c r="AG22" s="13">
        <f t="shared" si="1"/>
        <v>5943863</v>
      </c>
    </row>
    <row r="23" spans="1:33" ht="12.75">
      <c r="A23" s="7" t="s">
        <v>48</v>
      </c>
      <c r="B23" s="8" t="s">
        <v>49</v>
      </c>
      <c r="C23" s="8" t="s">
        <v>41</v>
      </c>
      <c r="D23" s="9">
        <f>VLOOKUP(A23,'ACCESS alloactions'!$A$2:$B$62,2,FALSE)</f>
        <v>700225.4</v>
      </c>
      <c r="E23" s="10">
        <f t="shared" si="0"/>
        <v>0.40000000002328306</v>
      </c>
      <c r="F23" s="12">
        <v>53892</v>
      </c>
      <c r="G23" s="12">
        <v>53892</v>
      </c>
      <c r="H23" s="12">
        <v>53892</v>
      </c>
      <c r="I23" s="12">
        <v>53892</v>
      </c>
      <c r="J23" s="12">
        <v>53892</v>
      </c>
      <c r="K23" s="12">
        <v>53892</v>
      </c>
      <c r="L23" s="12">
        <v>53892</v>
      </c>
      <c r="M23" s="12">
        <v>53892</v>
      </c>
      <c r="N23" s="12">
        <v>34043</v>
      </c>
      <c r="O23" s="12">
        <v>53892</v>
      </c>
      <c r="P23" s="12">
        <v>53892</v>
      </c>
      <c r="Q23" s="12">
        <v>53855</v>
      </c>
      <c r="R23" s="12">
        <v>0</v>
      </c>
      <c r="S23" s="12">
        <v>0</v>
      </c>
      <c r="T23" s="12">
        <v>0</v>
      </c>
      <c r="U23" s="12">
        <v>0</v>
      </c>
      <c r="V23" s="12">
        <v>0</v>
      </c>
      <c r="W23" s="12">
        <v>0</v>
      </c>
      <c r="X23" s="12">
        <v>0</v>
      </c>
      <c r="Y23" s="12">
        <v>73407</v>
      </c>
      <c r="Z23" s="12">
        <v>0</v>
      </c>
      <c r="AA23" s="12">
        <v>0</v>
      </c>
      <c r="AB23" s="12">
        <v>0</v>
      </c>
      <c r="AC23" s="12">
        <v>0</v>
      </c>
      <c r="AD23" s="12">
        <v>0</v>
      </c>
      <c r="AE23" s="12">
        <v>0</v>
      </c>
      <c r="AF23" s="12">
        <v>0</v>
      </c>
      <c r="AG23" s="13">
        <f t="shared" si="1"/>
        <v>700225</v>
      </c>
    </row>
    <row r="24" spans="1:33" ht="12.75">
      <c r="A24" s="7" t="s">
        <v>50</v>
      </c>
      <c r="B24" s="8" t="s">
        <v>51</v>
      </c>
      <c r="C24" s="8" t="s">
        <v>41</v>
      </c>
      <c r="D24" s="9">
        <f>VLOOKUP(A24,'ACCESS alloactions'!$A$2:$B$62,2,FALSE)</f>
        <v>3082310.7</v>
      </c>
      <c r="E24" s="10">
        <f t="shared" si="0"/>
        <v>-0.2999999998137355</v>
      </c>
      <c r="F24" s="12">
        <v>208818</v>
      </c>
      <c r="G24" s="12">
        <v>208818</v>
      </c>
      <c r="H24" s="12">
        <v>208818</v>
      </c>
      <c r="I24" s="12">
        <v>208818</v>
      </c>
      <c r="J24" s="12">
        <v>208818</v>
      </c>
      <c r="K24" s="12">
        <v>208818</v>
      </c>
      <c r="L24" s="12">
        <v>97623</v>
      </c>
      <c r="M24" s="12">
        <v>208818</v>
      </c>
      <c r="N24" s="12">
        <v>248940</v>
      </c>
      <c r="O24" s="12">
        <v>213276</v>
      </c>
      <c r="P24" s="12">
        <f>267947+213281</f>
        <v>481228</v>
      </c>
      <c r="Q24" s="12">
        <v>0</v>
      </c>
      <c r="R24" s="12">
        <v>0</v>
      </c>
      <c r="S24" s="12">
        <v>0</v>
      </c>
      <c r="T24" s="12">
        <v>0</v>
      </c>
      <c r="U24" s="12">
        <v>0</v>
      </c>
      <c r="V24" s="12">
        <v>579518</v>
      </c>
      <c r="W24" s="12">
        <v>0</v>
      </c>
      <c r="X24" s="12">
        <v>0</v>
      </c>
      <c r="Y24" s="12">
        <v>0</v>
      </c>
      <c r="Z24" s="12">
        <v>0</v>
      </c>
      <c r="AA24" s="12">
        <v>0</v>
      </c>
      <c r="AB24" s="12">
        <v>0</v>
      </c>
      <c r="AC24" s="12">
        <v>0</v>
      </c>
      <c r="AD24" s="12">
        <v>0</v>
      </c>
      <c r="AE24" s="12">
        <v>0</v>
      </c>
      <c r="AF24" s="12">
        <v>0</v>
      </c>
      <c r="AG24" s="13">
        <f t="shared" si="1"/>
        <v>3082311</v>
      </c>
    </row>
    <row r="25" spans="1:33" ht="12.75">
      <c r="A25" s="7" t="s">
        <v>52</v>
      </c>
      <c r="B25" s="8" t="s">
        <v>53</v>
      </c>
      <c r="C25" s="8" t="s">
        <v>41</v>
      </c>
      <c r="D25" s="9">
        <f>VLOOKUP(A25,'ACCESS alloactions'!$A$2:$B$62,2,FALSE)</f>
        <v>879831.4</v>
      </c>
      <c r="E25" s="10">
        <f t="shared" si="0"/>
        <v>0.40000000002328306</v>
      </c>
      <c r="F25" s="12">
        <v>64560</v>
      </c>
      <c r="G25" s="12">
        <v>64560</v>
      </c>
      <c r="H25" s="12">
        <v>64560</v>
      </c>
      <c r="I25" s="12">
        <v>64560</v>
      </c>
      <c r="J25" s="12">
        <v>64560</v>
      </c>
      <c r="K25" s="12">
        <v>64560</v>
      </c>
      <c r="L25" s="12">
        <v>64560</v>
      </c>
      <c r="M25" s="12">
        <v>64560</v>
      </c>
      <c r="N25" s="12">
        <v>76520</v>
      </c>
      <c r="O25" s="12">
        <v>0</v>
      </c>
      <c r="P25" s="12">
        <v>74325</v>
      </c>
      <c r="Q25" s="12">
        <v>74322</v>
      </c>
      <c r="R25" s="12">
        <v>0</v>
      </c>
      <c r="S25" s="12">
        <v>102427</v>
      </c>
      <c r="T25" s="12">
        <v>35757</v>
      </c>
      <c r="U25" s="12">
        <v>0</v>
      </c>
      <c r="V25" s="12">
        <v>0</v>
      </c>
      <c r="W25" s="12">
        <v>0</v>
      </c>
      <c r="X25" s="12">
        <v>0</v>
      </c>
      <c r="Y25" s="12">
        <v>0</v>
      </c>
      <c r="Z25" s="12">
        <v>0</v>
      </c>
      <c r="AA25" s="12">
        <v>0</v>
      </c>
      <c r="AB25" s="12">
        <v>0</v>
      </c>
      <c r="AC25" s="12">
        <v>0</v>
      </c>
      <c r="AD25" s="12">
        <v>0</v>
      </c>
      <c r="AE25" s="12">
        <v>0</v>
      </c>
      <c r="AF25" s="12">
        <v>0</v>
      </c>
      <c r="AG25" s="13">
        <f t="shared" si="1"/>
        <v>879831</v>
      </c>
    </row>
    <row r="26" spans="1:33" ht="12.75">
      <c r="A26" s="7" t="s">
        <v>54</v>
      </c>
      <c r="B26" s="8" t="s">
        <v>55</v>
      </c>
      <c r="C26" s="8" t="s">
        <v>41</v>
      </c>
      <c r="D26" s="9">
        <f>VLOOKUP(A26,'ACCESS alloactions'!$A$2:$B$62,2,FALSE)</f>
        <v>1898631</v>
      </c>
      <c r="E26" s="10">
        <f t="shared" si="0"/>
        <v>0</v>
      </c>
      <c r="F26" s="12">
        <v>64378</v>
      </c>
      <c r="G26" s="12">
        <v>64378</v>
      </c>
      <c r="H26" s="12">
        <v>64378</v>
      </c>
      <c r="I26" s="12">
        <v>64378</v>
      </c>
      <c r="J26" s="12">
        <v>64378</v>
      </c>
      <c r="K26" s="12">
        <v>64378</v>
      </c>
      <c r="L26" s="12">
        <v>64378</v>
      </c>
      <c r="M26" s="12">
        <v>64378</v>
      </c>
      <c r="N26" s="12">
        <v>19394</v>
      </c>
      <c r="O26" s="12">
        <v>1012227</v>
      </c>
      <c r="P26" s="12">
        <v>92288</v>
      </c>
      <c r="Q26" s="12">
        <v>63927</v>
      </c>
      <c r="R26" s="12">
        <v>0</v>
      </c>
      <c r="S26" s="12">
        <v>109447</v>
      </c>
      <c r="T26" s="12">
        <v>86324</v>
      </c>
      <c r="U26" s="12">
        <v>0</v>
      </c>
      <c r="V26" s="12">
        <v>0</v>
      </c>
      <c r="W26" s="12">
        <v>0</v>
      </c>
      <c r="X26" s="12">
        <v>0</v>
      </c>
      <c r="Y26" s="12">
        <v>0</v>
      </c>
      <c r="Z26" s="12">
        <v>0</v>
      </c>
      <c r="AA26" s="12">
        <v>0</v>
      </c>
      <c r="AB26" s="12">
        <v>0</v>
      </c>
      <c r="AC26" s="12">
        <v>0</v>
      </c>
      <c r="AD26" s="12">
        <v>0</v>
      </c>
      <c r="AE26" s="12">
        <v>0</v>
      </c>
      <c r="AF26" s="12">
        <v>0</v>
      </c>
      <c r="AG26" s="13">
        <f t="shared" si="1"/>
        <v>1898631</v>
      </c>
    </row>
    <row r="27" spans="1:33" ht="12.75">
      <c r="A27" s="7" t="s">
        <v>56</v>
      </c>
      <c r="B27" s="8" t="s">
        <v>57</v>
      </c>
      <c r="C27" s="8" t="s">
        <v>58</v>
      </c>
      <c r="D27" s="9">
        <f>VLOOKUP(A27,'ACCESS alloactions'!$A$2:$B$62,2,FALSE)</f>
        <v>857138.4</v>
      </c>
      <c r="E27" s="10">
        <f t="shared" si="0"/>
        <v>0.40000000002328306</v>
      </c>
      <c r="F27" s="12">
        <v>62036</v>
      </c>
      <c r="G27" s="12">
        <v>62036</v>
      </c>
      <c r="H27" s="12">
        <v>62036</v>
      </c>
      <c r="I27" s="12">
        <v>62036</v>
      </c>
      <c r="J27" s="12">
        <v>62036</v>
      </c>
      <c r="K27" s="12">
        <v>62036</v>
      </c>
      <c r="L27" s="12">
        <v>57006</v>
      </c>
      <c r="M27" s="12">
        <v>62036</v>
      </c>
      <c r="N27" s="12">
        <v>62036</v>
      </c>
      <c r="O27" s="12">
        <v>62036</v>
      </c>
      <c r="P27" s="12">
        <v>106421</v>
      </c>
      <c r="Q27" s="12">
        <v>66067</v>
      </c>
      <c r="R27" s="12">
        <v>0</v>
      </c>
      <c r="S27" s="12">
        <v>0</v>
      </c>
      <c r="T27" s="12">
        <v>14604</v>
      </c>
      <c r="U27" s="12">
        <v>0</v>
      </c>
      <c r="V27" s="12">
        <v>54716</v>
      </c>
      <c r="W27" s="12">
        <v>0</v>
      </c>
      <c r="X27" s="12">
        <v>0</v>
      </c>
      <c r="Y27" s="12">
        <v>0</v>
      </c>
      <c r="Z27" s="12">
        <v>0</v>
      </c>
      <c r="AA27" s="12">
        <v>0</v>
      </c>
      <c r="AB27" s="12">
        <v>0</v>
      </c>
      <c r="AC27" s="12">
        <v>0</v>
      </c>
      <c r="AD27" s="12">
        <v>0</v>
      </c>
      <c r="AE27" s="12">
        <v>0</v>
      </c>
      <c r="AF27" s="12">
        <v>0</v>
      </c>
      <c r="AG27" s="13">
        <f t="shared" si="1"/>
        <v>857138</v>
      </c>
    </row>
    <row r="28" spans="1:33" ht="12.75">
      <c r="A28" s="7" t="s">
        <v>59</v>
      </c>
      <c r="B28" s="8" t="s">
        <v>60</v>
      </c>
      <c r="C28" s="8" t="s">
        <v>61</v>
      </c>
      <c r="D28" s="9">
        <f>VLOOKUP(A28,'ACCESS alloactions'!$A$2:$B$62,2,FALSE)</f>
        <v>764274.3</v>
      </c>
      <c r="E28" s="10">
        <f t="shared" si="0"/>
        <v>0.30000000004656613</v>
      </c>
      <c r="F28" s="12">
        <v>54125</v>
      </c>
      <c r="G28" s="12">
        <v>54125</v>
      </c>
      <c r="H28" s="12">
        <v>54125</v>
      </c>
      <c r="I28" s="12">
        <v>54125</v>
      </c>
      <c r="J28" s="12">
        <v>54125</v>
      </c>
      <c r="K28" s="12">
        <v>54125</v>
      </c>
      <c r="L28" s="12">
        <v>54125</v>
      </c>
      <c r="M28" s="12">
        <v>54125</v>
      </c>
      <c r="N28" s="12">
        <v>25676</v>
      </c>
      <c r="O28" s="12">
        <v>54125</v>
      </c>
      <c r="P28" s="12">
        <f>54125+111243</f>
        <v>165368</v>
      </c>
      <c r="Q28" s="12">
        <v>0</v>
      </c>
      <c r="R28" s="12">
        <v>0</v>
      </c>
      <c r="S28" s="12">
        <v>0</v>
      </c>
      <c r="T28" s="12">
        <v>0</v>
      </c>
      <c r="U28" s="12">
        <v>0</v>
      </c>
      <c r="V28" s="12">
        <v>0</v>
      </c>
      <c r="W28" s="12">
        <v>0</v>
      </c>
      <c r="X28" s="12">
        <v>86105</v>
      </c>
      <c r="Y28" s="12">
        <v>0</v>
      </c>
      <c r="Z28" s="12">
        <v>0</v>
      </c>
      <c r="AA28" s="12">
        <v>0</v>
      </c>
      <c r="AB28" s="12">
        <v>0</v>
      </c>
      <c r="AC28" s="12">
        <v>0</v>
      </c>
      <c r="AD28" s="12">
        <v>0</v>
      </c>
      <c r="AE28" s="12">
        <v>0</v>
      </c>
      <c r="AF28" s="12">
        <v>0</v>
      </c>
      <c r="AG28" s="13">
        <f t="shared" si="1"/>
        <v>764274</v>
      </c>
    </row>
    <row r="29" spans="1:33" ht="12.75">
      <c r="A29" s="7" t="s">
        <v>62</v>
      </c>
      <c r="B29" s="8" t="s">
        <v>63</v>
      </c>
      <c r="C29" s="8" t="s">
        <v>64</v>
      </c>
      <c r="D29" s="9">
        <f>VLOOKUP(A29,'ACCESS alloactions'!$A$2:$B$62,2,FALSE)</f>
        <v>299736.5</v>
      </c>
      <c r="E29" s="10">
        <f t="shared" si="0"/>
        <v>-0.5</v>
      </c>
      <c r="F29" s="12">
        <v>3340</v>
      </c>
      <c r="G29" s="12">
        <v>3340</v>
      </c>
      <c r="H29" s="12">
        <v>3340</v>
      </c>
      <c r="I29" s="12">
        <v>3340</v>
      </c>
      <c r="J29" s="12">
        <v>3340</v>
      </c>
      <c r="K29" s="12">
        <v>3340</v>
      </c>
      <c r="L29" s="12">
        <v>3340</v>
      </c>
      <c r="M29" s="12">
        <v>3340</v>
      </c>
      <c r="N29" s="12">
        <v>131817</v>
      </c>
      <c r="O29" s="12">
        <v>0</v>
      </c>
      <c r="P29" s="12">
        <f>22489+22633</f>
        <v>45122</v>
      </c>
      <c r="Q29" s="12">
        <v>0</v>
      </c>
      <c r="R29" s="12">
        <v>0</v>
      </c>
      <c r="S29" s="12">
        <v>2565</v>
      </c>
      <c r="T29" s="12">
        <v>643</v>
      </c>
      <c r="U29" s="12">
        <v>0</v>
      </c>
      <c r="V29" s="12">
        <v>0</v>
      </c>
      <c r="W29" s="12">
        <v>0</v>
      </c>
      <c r="X29" s="12">
        <v>92870</v>
      </c>
      <c r="Y29" s="12">
        <v>0</v>
      </c>
      <c r="Z29" s="12">
        <v>0</v>
      </c>
      <c r="AA29" s="12">
        <v>0</v>
      </c>
      <c r="AB29" s="12">
        <v>0</v>
      </c>
      <c r="AC29" s="12">
        <v>0</v>
      </c>
      <c r="AD29" s="12">
        <v>0</v>
      </c>
      <c r="AE29" s="12">
        <v>0</v>
      </c>
      <c r="AF29" s="12">
        <v>0</v>
      </c>
      <c r="AG29" s="13">
        <f t="shared" si="1"/>
        <v>299737</v>
      </c>
    </row>
    <row r="30" spans="1:33" ht="12.75">
      <c r="A30" s="7" t="s">
        <v>65</v>
      </c>
      <c r="B30" s="8" t="s">
        <v>66</v>
      </c>
      <c r="C30" s="8" t="s">
        <v>67</v>
      </c>
      <c r="D30" s="9">
        <f>VLOOKUP(A30,'ACCESS alloactions'!$A$2:$B$62,2,FALSE)</f>
        <v>15137965.4</v>
      </c>
      <c r="E30" s="10">
        <f t="shared" si="0"/>
        <v>0.40000000037252903</v>
      </c>
      <c r="F30" s="12">
        <v>966928</v>
      </c>
      <c r="G30" s="12">
        <v>966928</v>
      </c>
      <c r="H30" s="12">
        <v>966928</v>
      </c>
      <c r="I30" s="12">
        <v>966928</v>
      </c>
      <c r="J30" s="12">
        <v>966928</v>
      </c>
      <c r="K30" s="12">
        <v>966928</v>
      </c>
      <c r="L30" s="12">
        <v>966928</v>
      </c>
      <c r="M30" s="12">
        <v>966928</v>
      </c>
      <c r="N30" s="12">
        <v>645543</v>
      </c>
      <c r="O30" s="12">
        <v>966928</v>
      </c>
      <c r="P30" s="12">
        <v>966928</v>
      </c>
      <c r="Q30" s="12">
        <v>1623848</v>
      </c>
      <c r="R30" s="12">
        <v>0</v>
      </c>
      <c r="S30" s="12">
        <v>0</v>
      </c>
      <c r="T30" s="12">
        <v>0</v>
      </c>
      <c r="U30" s="12">
        <v>0</v>
      </c>
      <c r="V30" s="12">
        <v>0</v>
      </c>
      <c r="W30" s="12">
        <v>1163143</v>
      </c>
      <c r="X30" s="12">
        <v>0</v>
      </c>
      <c r="Y30" s="12">
        <v>2036151</v>
      </c>
      <c r="Z30" s="12">
        <v>0</v>
      </c>
      <c r="AA30" s="12">
        <v>0</v>
      </c>
      <c r="AB30" s="12">
        <v>0</v>
      </c>
      <c r="AC30" s="12">
        <v>0</v>
      </c>
      <c r="AD30" s="12">
        <v>0</v>
      </c>
      <c r="AE30" s="12">
        <v>0</v>
      </c>
      <c r="AF30" s="12">
        <v>0</v>
      </c>
      <c r="AG30" s="13">
        <f t="shared" si="1"/>
        <v>15137965</v>
      </c>
    </row>
    <row r="31" spans="1:33" ht="12.75">
      <c r="A31" s="7" t="s">
        <v>68</v>
      </c>
      <c r="B31" s="8" t="s">
        <v>69</v>
      </c>
      <c r="C31" s="8" t="s">
        <v>70</v>
      </c>
      <c r="D31" s="9">
        <f>VLOOKUP(A31,'ACCESS alloactions'!$A$2:$B$62,2,FALSE)</f>
        <v>4458116.2</v>
      </c>
      <c r="E31" s="10">
        <f t="shared" si="0"/>
        <v>0.20000000018626451</v>
      </c>
      <c r="F31" s="12">
        <v>346398</v>
      </c>
      <c r="G31" s="12">
        <v>346398</v>
      </c>
      <c r="H31" s="12">
        <v>346398</v>
      </c>
      <c r="I31" s="12">
        <v>346398</v>
      </c>
      <c r="J31" s="12">
        <f>349575+346398</f>
        <v>695973</v>
      </c>
      <c r="K31" s="12">
        <v>346398</v>
      </c>
      <c r="L31" s="12">
        <v>346398</v>
      </c>
      <c r="M31" s="12">
        <v>346398</v>
      </c>
      <c r="N31" s="12">
        <v>89564</v>
      </c>
      <c r="O31" s="12">
        <v>346398</v>
      </c>
      <c r="P31" s="12">
        <f>346398+465567</f>
        <v>811965</v>
      </c>
      <c r="Q31" s="12">
        <v>0</v>
      </c>
      <c r="R31" s="12">
        <v>0</v>
      </c>
      <c r="S31" s="12">
        <v>89430</v>
      </c>
      <c r="T31" s="12">
        <v>0</v>
      </c>
      <c r="U31" s="12">
        <v>0</v>
      </c>
      <c r="V31" s="12">
        <v>0</v>
      </c>
      <c r="W31" s="12">
        <v>0</v>
      </c>
      <c r="X31" s="12">
        <v>0</v>
      </c>
      <c r="Y31" s="12">
        <v>0</v>
      </c>
      <c r="Z31" s="12">
        <v>0</v>
      </c>
      <c r="AA31" s="12">
        <v>0</v>
      </c>
      <c r="AB31" s="12">
        <v>0</v>
      </c>
      <c r="AC31" s="12">
        <v>0</v>
      </c>
      <c r="AD31" s="12">
        <v>0</v>
      </c>
      <c r="AE31" s="12">
        <v>0</v>
      </c>
      <c r="AF31" s="12">
        <v>0</v>
      </c>
      <c r="AG31" s="13">
        <f t="shared" si="1"/>
        <v>4458116</v>
      </c>
    </row>
    <row r="32" spans="1:33" ht="12.75">
      <c r="A32" s="7" t="s">
        <v>71</v>
      </c>
      <c r="B32" s="8" t="s">
        <v>72</v>
      </c>
      <c r="C32" s="8" t="s">
        <v>70</v>
      </c>
      <c r="D32" s="9">
        <f>VLOOKUP(A32,'ACCESS alloactions'!$A$2:$B$62,2,FALSE)</f>
        <v>2929941.5</v>
      </c>
      <c r="E32" s="10">
        <f t="shared" si="0"/>
        <v>-0.5</v>
      </c>
      <c r="F32" s="12">
        <v>205158</v>
      </c>
      <c r="G32" s="12">
        <v>205158</v>
      </c>
      <c r="H32" s="12">
        <v>205158</v>
      </c>
      <c r="I32" s="12">
        <v>205158</v>
      </c>
      <c r="J32" s="12">
        <v>205158</v>
      </c>
      <c r="K32" s="12">
        <v>205158</v>
      </c>
      <c r="L32" s="12">
        <v>205158</v>
      </c>
      <c r="M32" s="12">
        <v>205158</v>
      </c>
      <c r="N32" s="12">
        <v>0</v>
      </c>
      <c r="O32" s="12">
        <v>57143</v>
      </c>
      <c r="P32" s="12">
        <f>205158+111827</f>
        <v>316985</v>
      </c>
      <c r="Q32" s="12">
        <v>0</v>
      </c>
      <c r="R32" s="12">
        <v>0</v>
      </c>
      <c r="S32" s="12">
        <v>0</v>
      </c>
      <c r="T32" s="12">
        <v>0</v>
      </c>
      <c r="U32" s="12">
        <v>141367</v>
      </c>
      <c r="V32" s="12">
        <v>0</v>
      </c>
      <c r="W32" s="12">
        <v>0</v>
      </c>
      <c r="X32" s="12">
        <v>773183</v>
      </c>
      <c r="Y32" s="12">
        <v>0</v>
      </c>
      <c r="Z32" s="12">
        <v>0</v>
      </c>
      <c r="AA32" s="12">
        <v>0</v>
      </c>
      <c r="AB32" s="12">
        <v>0</v>
      </c>
      <c r="AC32" s="12">
        <v>0</v>
      </c>
      <c r="AD32" s="12">
        <v>0</v>
      </c>
      <c r="AE32" s="12">
        <v>0</v>
      </c>
      <c r="AF32" s="12">
        <v>0</v>
      </c>
      <c r="AG32" s="13">
        <f t="shared" si="1"/>
        <v>2929942</v>
      </c>
    </row>
    <row r="33" spans="1:33" ht="12.75">
      <c r="A33" s="7" t="s">
        <v>73</v>
      </c>
      <c r="B33" s="8" t="s">
        <v>74</v>
      </c>
      <c r="C33" s="8" t="s">
        <v>70</v>
      </c>
      <c r="D33" s="9">
        <f>VLOOKUP(A33,'ACCESS alloactions'!$A$2:$B$62,2,FALSE)</f>
        <v>248564</v>
      </c>
      <c r="E33" s="10">
        <f t="shared" si="0"/>
        <v>0</v>
      </c>
      <c r="F33" s="12">
        <v>18840</v>
      </c>
      <c r="G33" s="12">
        <v>18840</v>
      </c>
      <c r="H33" s="12">
        <v>18840</v>
      </c>
      <c r="I33" s="12">
        <v>18840</v>
      </c>
      <c r="J33" s="12">
        <v>18840</v>
      </c>
      <c r="K33" s="12">
        <v>18840</v>
      </c>
      <c r="L33" s="12">
        <v>18840</v>
      </c>
      <c r="M33" s="12">
        <v>0</v>
      </c>
      <c r="N33" s="12">
        <v>15501</v>
      </c>
      <c r="O33" s="12">
        <v>18840</v>
      </c>
      <c r="P33" s="12">
        <v>18653</v>
      </c>
      <c r="Q33" s="12">
        <v>18818</v>
      </c>
      <c r="R33" s="12">
        <v>0</v>
      </c>
      <c r="S33" s="12">
        <v>0</v>
      </c>
      <c r="T33" s="12">
        <v>0</v>
      </c>
      <c r="U33" s="12">
        <v>0</v>
      </c>
      <c r="V33" s="12">
        <v>44827</v>
      </c>
      <c r="W33" s="12">
        <v>45</v>
      </c>
      <c r="X33" s="12">
        <v>0</v>
      </c>
      <c r="Y33" s="12">
        <v>0</v>
      </c>
      <c r="Z33" s="12">
        <v>0</v>
      </c>
      <c r="AA33" s="12">
        <v>0</v>
      </c>
      <c r="AB33" s="12">
        <v>0</v>
      </c>
      <c r="AC33" s="12">
        <v>0</v>
      </c>
      <c r="AD33" s="12">
        <v>0</v>
      </c>
      <c r="AE33" s="12">
        <v>0</v>
      </c>
      <c r="AF33" s="12">
        <v>0</v>
      </c>
      <c r="AG33" s="13">
        <f t="shared" si="1"/>
        <v>248564</v>
      </c>
    </row>
    <row r="34" spans="1:33" ht="12.75">
      <c r="A34" s="7" t="s">
        <v>75</v>
      </c>
      <c r="B34" s="8" t="s">
        <v>76</v>
      </c>
      <c r="C34" s="8" t="s">
        <v>77</v>
      </c>
      <c r="D34" s="9">
        <f>VLOOKUP(A34,'ACCESS alloactions'!$A$2:$B$62,2,FALSE)</f>
        <v>560692.6</v>
      </c>
      <c r="E34" s="10">
        <f t="shared" si="0"/>
        <v>-0.40000000002328306</v>
      </c>
      <c r="F34" s="12">
        <v>43069</v>
      </c>
      <c r="G34" s="12">
        <v>43069</v>
      </c>
      <c r="H34" s="12">
        <v>43069</v>
      </c>
      <c r="I34" s="12">
        <v>43069</v>
      </c>
      <c r="J34" s="12">
        <v>43069</v>
      </c>
      <c r="K34" s="12">
        <v>43069</v>
      </c>
      <c r="L34" s="12">
        <v>43069</v>
      </c>
      <c r="M34" s="12">
        <v>0</v>
      </c>
      <c r="N34" s="12">
        <v>0</v>
      </c>
      <c r="O34" s="12">
        <v>0</v>
      </c>
      <c r="P34" s="12">
        <v>0</v>
      </c>
      <c r="Q34" s="12">
        <v>0</v>
      </c>
      <c r="R34" s="12">
        <v>111790</v>
      </c>
      <c r="S34" s="12">
        <v>0</v>
      </c>
      <c r="T34" s="12">
        <v>0</v>
      </c>
      <c r="U34" s="12">
        <v>0</v>
      </c>
      <c r="V34" s="12">
        <v>0</v>
      </c>
      <c r="W34" s="12">
        <v>147420</v>
      </c>
      <c r="X34" s="12">
        <v>0</v>
      </c>
      <c r="Y34" s="12">
        <v>0</v>
      </c>
      <c r="Z34" s="12">
        <v>0</v>
      </c>
      <c r="AA34" s="12">
        <v>0</v>
      </c>
      <c r="AB34" s="12">
        <v>0</v>
      </c>
      <c r="AC34" s="12">
        <v>0</v>
      </c>
      <c r="AD34" s="12">
        <v>0</v>
      </c>
      <c r="AE34" s="12">
        <v>0</v>
      </c>
      <c r="AF34" s="12">
        <v>0</v>
      </c>
      <c r="AG34" s="13">
        <f t="shared" si="1"/>
        <v>560693</v>
      </c>
    </row>
    <row r="35" spans="1:33" ht="12.75">
      <c r="A35" s="7" t="s">
        <v>78</v>
      </c>
      <c r="B35" s="8" t="s">
        <v>79</v>
      </c>
      <c r="C35" s="8" t="s">
        <v>80</v>
      </c>
      <c r="D35" s="9">
        <f>VLOOKUP(A35,'ACCESS alloactions'!$A$2:$B$62,2,FALSE)</f>
        <v>4373802.7</v>
      </c>
      <c r="E35" s="10">
        <f t="shared" si="0"/>
        <v>-0.2999999998137355</v>
      </c>
      <c r="F35" s="12">
        <v>329415</v>
      </c>
      <c r="G35" s="12">
        <v>329415</v>
      </c>
      <c r="H35" s="12">
        <v>329415</v>
      </c>
      <c r="I35" s="12">
        <v>329415</v>
      </c>
      <c r="J35" s="12">
        <v>329415</v>
      </c>
      <c r="K35" s="12">
        <v>329415</v>
      </c>
      <c r="L35" s="12">
        <v>329415</v>
      </c>
      <c r="M35" s="12">
        <v>329415</v>
      </c>
      <c r="N35" s="12">
        <v>0</v>
      </c>
      <c r="O35" s="12">
        <v>0</v>
      </c>
      <c r="P35" s="12">
        <f>66636+554721</f>
        <v>621357</v>
      </c>
      <c r="Q35" s="12">
        <v>0</v>
      </c>
      <c r="R35" s="12">
        <v>0</v>
      </c>
      <c r="S35" s="12">
        <v>0</v>
      </c>
      <c r="T35" s="12">
        <v>464794</v>
      </c>
      <c r="U35" s="12">
        <v>0</v>
      </c>
      <c r="V35" s="12">
        <v>652332</v>
      </c>
      <c r="W35" s="12">
        <v>0</v>
      </c>
      <c r="X35" s="12">
        <v>0</v>
      </c>
      <c r="Y35" s="12">
        <v>0</v>
      </c>
      <c r="Z35" s="12">
        <v>0</v>
      </c>
      <c r="AA35" s="12">
        <v>0</v>
      </c>
      <c r="AB35" s="12">
        <v>0</v>
      </c>
      <c r="AC35" s="12">
        <v>0</v>
      </c>
      <c r="AD35" s="12">
        <v>0</v>
      </c>
      <c r="AE35" s="12">
        <v>0</v>
      </c>
      <c r="AF35" s="12">
        <v>0</v>
      </c>
      <c r="AG35" s="13">
        <f t="shared" si="1"/>
        <v>4373803</v>
      </c>
    </row>
    <row r="36" spans="1:33" ht="12.75">
      <c r="A36" s="7" t="s">
        <v>81</v>
      </c>
      <c r="B36" s="8" t="s">
        <v>82</v>
      </c>
      <c r="C36" s="8" t="s">
        <v>83</v>
      </c>
      <c r="D36" s="9">
        <f>VLOOKUP(A36,'ACCESS alloactions'!$A$2:$B$62,2,FALSE)</f>
        <v>491303.4</v>
      </c>
      <c r="E36" s="10">
        <f t="shared" si="0"/>
        <v>0.40000000002328306</v>
      </c>
      <c r="F36" s="12">
        <v>36705</v>
      </c>
      <c r="G36" s="12">
        <v>36705</v>
      </c>
      <c r="H36" s="12">
        <v>36705</v>
      </c>
      <c r="I36" s="12">
        <v>36705</v>
      </c>
      <c r="J36" s="12">
        <v>36705</v>
      </c>
      <c r="K36" s="12">
        <v>36705</v>
      </c>
      <c r="L36" s="12">
        <v>36705</v>
      </c>
      <c r="M36" s="12">
        <v>36705</v>
      </c>
      <c r="N36" s="12">
        <v>36705</v>
      </c>
      <c r="O36" s="12">
        <v>27666</v>
      </c>
      <c r="P36" s="12">
        <v>58001</v>
      </c>
      <c r="Q36" s="12">
        <v>38641</v>
      </c>
      <c r="R36" s="12">
        <v>0</v>
      </c>
      <c r="S36" s="12">
        <v>0</v>
      </c>
      <c r="T36" s="12">
        <v>0</v>
      </c>
      <c r="U36" s="12">
        <v>0</v>
      </c>
      <c r="V36" s="12">
        <v>36650</v>
      </c>
      <c r="W36" s="12">
        <v>0</v>
      </c>
      <c r="X36" s="12">
        <v>0</v>
      </c>
      <c r="Y36" s="12">
        <v>0</v>
      </c>
      <c r="Z36" s="12">
        <v>0</v>
      </c>
      <c r="AA36" s="12">
        <v>0</v>
      </c>
      <c r="AB36" s="12">
        <v>0</v>
      </c>
      <c r="AC36" s="12">
        <v>0</v>
      </c>
      <c r="AD36" s="12">
        <v>0</v>
      </c>
      <c r="AE36" s="12">
        <v>0</v>
      </c>
      <c r="AF36" s="12">
        <v>0</v>
      </c>
      <c r="AG36" s="13">
        <f t="shared" si="1"/>
        <v>491303</v>
      </c>
    </row>
    <row r="37" spans="1:33" ht="12.75">
      <c r="A37" s="7" t="s">
        <v>84</v>
      </c>
      <c r="B37" s="8" t="s">
        <v>85</v>
      </c>
      <c r="C37" s="8" t="s">
        <v>86</v>
      </c>
      <c r="D37" s="9">
        <f>VLOOKUP(A37,'ACCESS alloactions'!$A$2:$B$62,2,FALSE)</f>
        <v>1227546.8</v>
      </c>
      <c r="E37" s="10">
        <f t="shared" si="0"/>
        <v>-0.19999999995343387</v>
      </c>
      <c r="F37" s="12">
        <v>75029</v>
      </c>
      <c r="G37" s="12">
        <v>75029</v>
      </c>
      <c r="H37" s="12">
        <v>75029</v>
      </c>
      <c r="I37" s="12">
        <v>75029</v>
      </c>
      <c r="J37" s="12">
        <v>75029</v>
      </c>
      <c r="K37" s="12">
        <v>75029</v>
      </c>
      <c r="L37" s="12">
        <v>0</v>
      </c>
      <c r="M37" s="12">
        <v>0</v>
      </c>
      <c r="N37" s="12">
        <v>0</v>
      </c>
      <c r="O37" s="12">
        <v>0</v>
      </c>
      <c r="P37" s="12">
        <v>26670</v>
      </c>
      <c r="Q37" s="12">
        <v>74933</v>
      </c>
      <c r="R37" s="12">
        <v>0</v>
      </c>
      <c r="S37" s="12">
        <v>0</v>
      </c>
      <c r="T37" s="12">
        <v>109176</v>
      </c>
      <c r="U37" s="12">
        <v>0</v>
      </c>
      <c r="V37" s="12">
        <v>0</v>
      </c>
      <c r="W37" s="12">
        <v>0</v>
      </c>
      <c r="X37" s="12">
        <v>496636</v>
      </c>
      <c r="Y37" s="12">
        <v>69958</v>
      </c>
      <c r="Z37" s="12">
        <v>0</v>
      </c>
      <c r="AA37" s="12">
        <v>0</v>
      </c>
      <c r="AB37" s="12">
        <v>0</v>
      </c>
      <c r="AC37" s="12">
        <v>0</v>
      </c>
      <c r="AD37" s="12">
        <v>0</v>
      </c>
      <c r="AE37" s="12">
        <v>0</v>
      </c>
      <c r="AF37" s="12">
        <v>0</v>
      </c>
      <c r="AG37" s="13">
        <f t="shared" si="1"/>
        <v>1227547</v>
      </c>
    </row>
    <row r="38" spans="1:33" ht="12.75">
      <c r="A38" s="7" t="s">
        <v>87</v>
      </c>
      <c r="B38" s="8" t="s">
        <v>88</v>
      </c>
      <c r="C38" s="8" t="s">
        <v>89</v>
      </c>
      <c r="D38" s="9">
        <f>VLOOKUP(A38,'ACCESS alloactions'!$A$2:$B$62,2,FALSE)</f>
        <v>675443.3</v>
      </c>
      <c r="E38" s="10">
        <f t="shared" si="0"/>
        <v>0.30000000004656613</v>
      </c>
      <c r="F38" s="12">
        <v>48879</v>
      </c>
      <c r="G38" s="12">
        <v>48879</v>
      </c>
      <c r="H38" s="12">
        <v>48879</v>
      </c>
      <c r="I38" s="12">
        <v>48879</v>
      </c>
      <c r="J38" s="12">
        <v>48879</v>
      </c>
      <c r="K38" s="12">
        <v>48879</v>
      </c>
      <c r="L38" s="12">
        <v>48879</v>
      </c>
      <c r="M38" s="12">
        <v>48879</v>
      </c>
      <c r="N38" s="12">
        <f>34070+53099</f>
        <v>87169</v>
      </c>
      <c r="O38" s="12">
        <v>0</v>
      </c>
      <c r="P38" s="12">
        <f>49301+49304</f>
        <v>98605</v>
      </c>
      <c r="Q38" s="12">
        <v>0</v>
      </c>
      <c r="R38" s="12">
        <v>0</v>
      </c>
      <c r="S38" s="12">
        <v>0</v>
      </c>
      <c r="T38" s="12">
        <v>0</v>
      </c>
      <c r="U38" s="12">
        <v>0</v>
      </c>
      <c r="V38" s="12">
        <v>0</v>
      </c>
      <c r="W38" s="12">
        <v>0</v>
      </c>
      <c r="X38" s="12">
        <v>98637</v>
      </c>
      <c r="Y38" s="12">
        <v>0</v>
      </c>
      <c r="Z38" s="12">
        <v>0</v>
      </c>
      <c r="AA38" s="12">
        <v>0</v>
      </c>
      <c r="AB38" s="12">
        <v>0</v>
      </c>
      <c r="AC38" s="12">
        <v>0</v>
      </c>
      <c r="AD38" s="12">
        <v>0</v>
      </c>
      <c r="AE38" s="12">
        <v>0</v>
      </c>
      <c r="AF38" s="12">
        <v>0</v>
      </c>
      <c r="AG38" s="13">
        <f t="shared" si="1"/>
        <v>675443</v>
      </c>
    </row>
    <row r="39" spans="1:33" ht="12.75">
      <c r="A39" s="7" t="s">
        <v>90</v>
      </c>
      <c r="B39" s="8" t="s">
        <v>91</v>
      </c>
      <c r="C39" s="8" t="s">
        <v>92</v>
      </c>
      <c r="D39" s="9">
        <f>VLOOKUP(A39,'ACCESS alloactions'!$A$2:$B$62,2,FALSE)</f>
        <v>3535255.9</v>
      </c>
      <c r="E39" s="10">
        <f t="shared" si="0"/>
        <v>-0.10000000009313226</v>
      </c>
      <c r="F39" s="12">
        <v>237303</v>
      </c>
      <c r="G39" s="12">
        <v>237303</v>
      </c>
      <c r="H39" s="12">
        <v>237303</v>
      </c>
      <c r="I39" s="12">
        <v>237303</v>
      </c>
      <c r="J39" s="12">
        <v>237303</v>
      </c>
      <c r="K39" s="12">
        <v>237303</v>
      </c>
      <c r="L39" s="12">
        <v>237303</v>
      </c>
      <c r="M39" s="12">
        <v>237303</v>
      </c>
      <c r="N39" s="12">
        <v>237303</v>
      </c>
      <c r="O39" s="12">
        <v>237303</v>
      </c>
      <c r="P39" s="12">
        <v>160483</v>
      </c>
      <c r="Q39" s="12">
        <v>479209</v>
      </c>
      <c r="R39" s="12">
        <v>0</v>
      </c>
      <c r="S39" s="12">
        <v>0</v>
      </c>
      <c r="T39" s="12">
        <v>0</v>
      </c>
      <c r="U39" s="12">
        <v>0</v>
      </c>
      <c r="V39" s="12">
        <v>0</v>
      </c>
      <c r="W39" s="12">
        <v>292395</v>
      </c>
      <c r="X39" s="12">
        <v>0</v>
      </c>
      <c r="Y39" s="12">
        <v>0</v>
      </c>
      <c r="Z39" s="12">
        <v>0</v>
      </c>
      <c r="AA39" s="12">
        <v>0</v>
      </c>
      <c r="AB39" s="12">
        <v>230139</v>
      </c>
      <c r="AC39" s="12">
        <v>0</v>
      </c>
      <c r="AD39" s="12">
        <v>0</v>
      </c>
      <c r="AE39" s="12">
        <v>0</v>
      </c>
      <c r="AF39" s="12">
        <v>0</v>
      </c>
      <c r="AG39" s="13">
        <f t="shared" si="1"/>
        <v>3535256</v>
      </c>
    </row>
    <row r="40" spans="1:33" ht="12.75">
      <c r="A40" s="7" t="s">
        <v>93</v>
      </c>
      <c r="B40" s="8" t="s">
        <v>94</v>
      </c>
      <c r="C40" s="8" t="s">
        <v>92</v>
      </c>
      <c r="D40" s="9">
        <f>VLOOKUP(A40,'ACCESS alloactions'!$A$2:$B$62,2,FALSE)</f>
        <v>1405051.4</v>
      </c>
      <c r="E40" s="10">
        <f t="shared" si="0"/>
        <v>0.39999999990686774</v>
      </c>
      <c r="F40" s="12">
        <v>106199</v>
      </c>
      <c r="G40" s="12">
        <v>106199</v>
      </c>
      <c r="H40" s="12">
        <v>106199</v>
      </c>
      <c r="I40" s="12">
        <v>106199</v>
      </c>
      <c r="J40" s="12">
        <v>106199</v>
      </c>
      <c r="K40" s="12">
        <v>106199</v>
      </c>
      <c r="L40" s="12">
        <v>106199</v>
      </c>
      <c r="M40" s="12">
        <v>106199</v>
      </c>
      <c r="N40" s="12">
        <v>106199</v>
      </c>
      <c r="O40" s="12">
        <v>98720</v>
      </c>
      <c r="P40" s="12">
        <v>106199</v>
      </c>
      <c r="Q40" s="12">
        <v>57758</v>
      </c>
      <c r="R40" s="12">
        <v>0</v>
      </c>
      <c r="S40" s="12">
        <v>0</v>
      </c>
      <c r="T40" s="12">
        <v>36865</v>
      </c>
      <c r="U40" s="12">
        <v>0</v>
      </c>
      <c r="V40" s="12">
        <v>149718</v>
      </c>
      <c r="W40" s="12">
        <v>0</v>
      </c>
      <c r="X40" s="12">
        <v>0</v>
      </c>
      <c r="Y40" s="12">
        <v>0</v>
      </c>
      <c r="Z40" s="12">
        <v>0</v>
      </c>
      <c r="AA40" s="12">
        <v>0</v>
      </c>
      <c r="AB40" s="12">
        <v>0</v>
      </c>
      <c r="AC40" s="12">
        <v>0</v>
      </c>
      <c r="AD40" s="12">
        <v>0</v>
      </c>
      <c r="AE40" s="12">
        <v>0</v>
      </c>
      <c r="AF40" s="12">
        <v>0</v>
      </c>
      <c r="AG40" s="13">
        <f t="shared" si="1"/>
        <v>1405051</v>
      </c>
    </row>
    <row r="41" spans="1:33" ht="12.75">
      <c r="A41" s="7" t="s">
        <v>95</v>
      </c>
      <c r="B41" s="8" t="s">
        <v>96</v>
      </c>
      <c r="C41" s="8" t="s">
        <v>58</v>
      </c>
      <c r="D41" s="9">
        <f>VLOOKUP(A41,'ACCESS alloactions'!$A$2:$B$62,2,FALSE)</f>
        <v>566440.5</v>
      </c>
      <c r="E41" s="10">
        <f t="shared" si="0"/>
        <v>-0.5</v>
      </c>
      <c r="F41" s="12">
        <v>38549</v>
      </c>
      <c r="G41" s="12">
        <v>38549</v>
      </c>
      <c r="H41" s="12">
        <v>38549</v>
      </c>
      <c r="I41" s="12">
        <v>38549</v>
      </c>
      <c r="J41" s="12">
        <v>38549</v>
      </c>
      <c r="K41" s="12">
        <v>38549</v>
      </c>
      <c r="L41" s="12">
        <v>38549</v>
      </c>
      <c r="M41" s="12">
        <v>25241</v>
      </c>
      <c r="N41" s="12">
        <v>38549</v>
      </c>
      <c r="O41" s="12">
        <v>38549</v>
      </c>
      <c r="P41" s="12">
        <f>38549+74504</f>
        <v>113053</v>
      </c>
      <c r="Q41" s="12">
        <v>0</v>
      </c>
      <c r="R41" s="12">
        <v>0</v>
      </c>
      <c r="S41" s="12">
        <v>25981</v>
      </c>
      <c r="T41" s="12">
        <v>0</v>
      </c>
      <c r="U41" s="12">
        <v>0</v>
      </c>
      <c r="V41" s="12">
        <v>55225</v>
      </c>
      <c r="W41" s="12">
        <v>0</v>
      </c>
      <c r="X41" s="12">
        <v>0</v>
      </c>
      <c r="Y41" s="12">
        <v>0</v>
      </c>
      <c r="Z41" s="12">
        <v>0</v>
      </c>
      <c r="AA41" s="12">
        <v>0</v>
      </c>
      <c r="AB41" s="12">
        <v>0</v>
      </c>
      <c r="AC41" s="12">
        <v>0</v>
      </c>
      <c r="AD41" s="12">
        <v>0</v>
      </c>
      <c r="AE41" s="12">
        <v>0</v>
      </c>
      <c r="AF41" s="12">
        <v>0</v>
      </c>
      <c r="AG41" s="13">
        <f t="shared" si="1"/>
        <v>566441</v>
      </c>
    </row>
    <row r="42" spans="1:33" ht="12.75">
      <c r="A42" s="22" t="s">
        <v>208</v>
      </c>
      <c r="B42" s="8" t="s">
        <v>209</v>
      </c>
      <c r="C42" s="8" t="s">
        <v>58</v>
      </c>
      <c r="D42" s="9">
        <v>34390</v>
      </c>
      <c r="E42" s="10">
        <f t="shared" si="0"/>
        <v>0</v>
      </c>
      <c r="F42" s="12">
        <v>0</v>
      </c>
      <c r="G42" s="12">
        <v>0</v>
      </c>
      <c r="H42" s="12">
        <v>0</v>
      </c>
      <c r="I42" s="12">
        <v>0</v>
      </c>
      <c r="J42" s="12">
        <v>0</v>
      </c>
      <c r="K42" s="12">
        <v>0</v>
      </c>
      <c r="L42" s="12">
        <v>0</v>
      </c>
      <c r="M42" s="12">
        <v>0</v>
      </c>
      <c r="N42" s="12">
        <v>0</v>
      </c>
      <c r="O42" s="12">
        <v>0</v>
      </c>
      <c r="P42" s="12">
        <v>0</v>
      </c>
      <c r="Q42" s="12">
        <v>0</v>
      </c>
      <c r="R42" s="12">
        <v>0</v>
      </c>
      <c r="S42" s="12">
        <v>0</v>
      </c>
      <c r="T42" s="12">
        <v>0</v>
      </c>
      <c r="U42" s="12">
        <v>0</v>
      </c>
      <c r="V42" s="12">
        <v>0</v>
      </c>
      <c r="W42" s="12">
        <v>0</v>
      </c>
      <c r="X42" s="12">
        <v>0</v>
      </c>
      <c r="Y42" s="12">
        <v>0</v>
      </c>
      <c r="Z42" s="12">
        <v>0</v>
      </c>
      <c r="AA42" s="12">
        <v>0</v>
      </c>
      <c r="AB42" s="12">
        <v>0</v>
      </c>
      <c r="AC42" s="12">
        <v>0</v>
      </c>
      <c r="AD42" s="12">
        <v>0</v>
      </c>
      <c r="AE42" s="12">
        <v>34390</v>
      </c>
      <c r="AF42" s="12">
        <v>0</v>
      </c>
      <c r="AG42" s="13">
        <f t="shared" si="1"/>
        <v>34390</v>
      </c>
    </row>
    <row r="43" spans="1:33" ht="12.75">
      <c r="A43" s="7" t="s">
        <v>97</v>
      </c>
      <c r="B43" s="8" t="s">
        <v>98</v>
      </c>
      <c r="C43" s="8" t="s">
        <v>58</v>
      </c>
      <c r="D43" s="9">
        <f>VLOOKUP(A43,'ACCESS alloactions'!$A$2:$B$62,2,FALSE)</f>
        <v>3518774.8</v>
      </c>
      <c r="E43" s="10">
        <f t="shared" si="0"/>
        <v>-0.20000000018626451</v>
      </c>
      <c r="F43" s="12">
        <v>194626</v>
      </c>
      <c r="G43" s="12">
        <v>194626</v>
      </c>
      <c r="H43" s="12">
        <v>194626</v>
      </c>
      <c r="I43" s="12">
        <v>194626</v>
      </c>
      <c r="J43" s="12">
        <v>194626</v>
      </c>
      <c r="K43" s="12">
        <v>194626</v>
      </c>
      <c r="L43" s="12">
        <v>194626</v>
      </c>
      <c r="M43" s="12">
        <v>194626</v>
      </c>
      <c r="N43" s="12">
        <v>0</v>
      </c>
      <c r="O43" s="12">
        <v>106964</v>
      </c>
      <c r="P43" s="12">
        <f>194626+367516</f>
        <v>562142</v>
      </c>
      <c r="Q43" s="12">
        <v>0</v>
      </c>
      <c r="R43" s="12">
        <v>0</v>
      </c>
      <c r="S43" s="12">
        <v>0</v>
      </c>
      <c r="T43" s="12">
        <v>0</v>
      </c>
      <c r="U43" s="12">
        <v>0</v>
      </c>
      <c r="V43" s="12">
        <v>0</v>
      </c>
      <c r="W43" s="12">
        <v>499614</v>
      </c>
      <c r="X43" s="12">
        <v>0</v>
      </c>
      <c r="Y43" s="12">
        <v>793047</v>
      </c>
      <c r="Z43" s="12">
        <v>0</v>
      </c>
      <c r="AA43" s="12">
        <v>0</v>
      </c>
      <c r="AB43" s="12">
        <v>0</v>
      </c>
      <c r="AC43" s="12">
        <v>0</v>
      </c>
      <c r="AD43" s="12">
        <v>0</v>
      </c>
      <c r="AE43" s="12">
        <v>0</v>
      </c>
      <c r="AF43" s="12">
        <v>0</v>
      </c>
      <c r="AG43" s="13">
        <f t="shared" si="1"/>
        <v>3518775</v>
      </c>
    </row>
    <row r="44" spans="1:33" ht="12.75">
      <c r="A44" s="7" t="s">
        <v>99</v>
      </c>
      <c r="B44" s="8" t="s">
        <v>100</v>
      </c>
      <c r="C44" s="8"/>
      <c r="D44" s="9">
        <f>VLOOKUP(A44,'ACCESS alloactions'!$A$2:$B$62,2,FALSE)</f>
        <v>1566838.1</v>
      </c>
      <c r="E44" s="10">
        <f t="shared" si="0"/>
        <v>0.10000000009313226</v>
      </c>
      <c r="F44" s="12">
        <v>99697</v>
      </c>
      <c r="G44" s="12">
        <v>99697</v>
      </c>
      <c r="H44" s="12">
        <v>99697</v>
      </c>
      <c r="I44" s="12">
        <v>99697</v>
      </c>
      <c r="J44" s="12">
        <v>99697</v>
      </c>
      <c r="K44" s="12">
        <v>99697</v>
      </c>
      <c r="L44" s="12">
        <v>51720</v>
      </c>
      <c r="M44" s="12">
        <v>99697</v>
      </c>
      <c r="N44" s="12">
        <v>99697</v>
      </c>
      <c r="O44" s="12">
        <v>526886</v>
      </c>
      <c r="P44" s="12">
        <v>0</v>
      </c>
      <c r="Q44" s="12">
        <v>5806</v>
      </c>
      <c r="R44" s="12">
        <v>16056</v>
      </c>
      <c r="S44" s="12">
        <v>0</v>
      </c>
      <c r="T44" s="12">
        <v>0</v>
      </c>
      <c r="U44" s="12">
        <v>138705</v>
      </c>
      <c r="V44" s="12">
        <v>30089</v>
      </c>
      <c r="W44" s="12">
        <v>0</v>
      </c>
      <c r="X44" s="12">
        <v>0</v>
      </c>
      <c r="Y44" s="12">
        <v>0</v>
      </c>
      <c r="Z44" s="12">
        <v>0</v>
      </c>
      <c r="AA44" s="12">
        <v>0</v>
      </c>
      <c r="AB44" s="12">
        <v>0</v>
      </c>
      <c r="AC44" s="12">
        <v>0</v>
      </c>
      <c r="AD44" s="12">
        <v>0</v>
      </c>
      <c r="AE44" s="12">
        <v>0</v>
      </c>
      <c r="AF44" s="12">
        <v>0</v>
      </c>
      <c r="AG44" s="13">
        <f t="shared" si="1"/>
        <v>1566838</v>
      </c>
    </row>
    <row r="45" spans="1:33" ht="12.75">
      <c r="A45" s="22" t="s">
        <v>101</v>
      </c>
      <c r="B45" s="8" t="s">
        <v>102</v>
      </c>
      <c r="C45" s="8"/>
      <c r="D45" s="9">
        <f>VLOOKUP(A45,'ACCESS alloactions'!$A$2:$B$62,2,FALSE)</f>
        <v>501000.2</v>
      </c>
      <c r="E45" s="10">
        <f t="shared" si="0"/>
        <v>0.20000000001164153</v>
      </c>
      <c r="F45" s="12">
        <v>33285</v>
      </c>
      <c r="G45" s="12">
        <v>33285</v>
      </c>
      <c r="H45" s="12">
        <v>33285</v>
      </c>
      <c r="I45" s="12">
        <v>33285</v>
      </c>
      <c r="J45" s="12">
        <v>33285</v>
      </c>
      <c r="K45" s="12">
        <v>33285</v>
      </c>
      <c r="L45" s="12">
        <v>33285</v>
      </c>
      <c r="M45" s="12">
        <v>0</v>
      </c>
      <c r="N45" s="12">
        <v>1543</v>
      </c>
      <c r="O45" s="12">
        <v>33285</v>
      </c>
      <c r="P45" s="12">
        <f>33285+17744</f>
        <v>51029</v>
      </c>
      <c r="Q45" s="12">
        <v>0</v>
      </c>
      <c r="R45" s="12">
        <v>0</v>
      </c>
      <c r="S45" s="12">
        <v>0</v>
      </c>
      <c r="T45" s="12">
        <v>0</v>
      </c>
      <c r="U45" s="12">
        <v>0</v>
      </c>
      <c r="V45" s="12">
        <v>0</v>
      </c>
      <c r="W45" s="12">
        <f>49083+133065</f>
        <v>182148</v>
      </c>
      <c r="X45" s="12">
        <v>0</v>
      </c>
      <c r="Y45" s="12">
        <v>0</v>
      </c>
      <c r="Z45" s="12">
        <v>0</v>
      </c>
      <c r="AA45" s="12">
        <v>0</v>
      </c>
      <c r="AB45" s="12">
        <v>0</v>
      </c>
      <c r="AC45" s="12">
        <v>0</v>
      </c>
      <c r="AD45" s="12">
        <v>0</v>
      </c>
      <c r="AE45" s="12">
        <v>0</v>
      </c>
      <c r="AF45" s="12">
        <v>0</v>
      </c>
      <c r="AG45" s="13">
        <f t="shared" si="1"/>
        <v>501000</v>
      </c>
    </row>
    <row r="46" spans="1:33" ht="12.75">
      <c r="A46" s="22" t="s">
        <v>103</v>
      </c>
      <c r="B46" s="8" t="s">
        <v>182</v>
      </c>
      <c r="C46" s="8"/>
      <c r="D46" s="9">
        <f>VLOOKUP(A46,'ACCESS alloactions'!$A$2:$B$62,2,FALSE)</f>
        <v>703708</v>
      </c>
      <c r="E46" s="10">
        <f t="shared" si="0"/>
        <v>0</v>
      </c>
      <c r="F46" s="12">
        <v>62941</v>
      </c>
      <c r="G46" s="12">
        <v>62941</v>
      </c>
      <c r="H46" s="12">
        <v>62941</v>
      </c>
      <c r="I46" s="12">
        <v>62941</v>
      </c>
      <c r="J46" s="12">
        <v>62941</v>
      </c>
      <c r="K46" s="12">
        <v>62941</v>
      </c>
      <c r="L46" s="12">
        <v>0</v>
      </c>
      <c r="M46" s="12">
        <v>19144</v>
      </c>
      <c r="N46" s="12">
        <v>62023</v>
      </c>
      <c r="O46" s="12">
        <v>62839</v>
      </c>
      <c r="P46" s="12">
        <v>119267</v>
      </c>
      <c r="Q46" s="12">
        <v>62789</v>
      </c>
      <c r="R46" s="12">
        <v>0</v>
      </c>
      <c r="S46" s="12">
        <v>0</v>
      </c>
      <c r="T46" s="12">
        <v>0</v>
      </c>
      <c r="U46" s="12">
        <v>0</v>
      </c>
      <c r="V46" s="12">
        <v>0</v>
      </c>
      <c r="W46" s="12">
        <v>0</v>
      </c>
      <c r="X46" s="12">
        <v>0</v>
      </c>
      <c r="Y46" s="12">
        <v>0</v>
      </c>
      <c r="Z46" s="12">
        <v>0</v>
      </c>
      <c r="AA46" s="12">
        <v>0</v>
      </c>
      <c r="AB46" s="12">
        <v>0</v>
      </c>
      <c r="AC46" s="12">
        <v>0</v>
      </c>
      <c r="AD46" s="12">
        <v>0</v>
      </c>
      <c r="AE46" s="12">
        <v>0</v>
      </c>
      <c r="AF46" s="12">
        <v>0</v>
      </c>
      <c r="AG46" s="13">
        <f t="shared" si="1"/>
        <v>703708</v>
      </c>
    </row>
    <row r="47" spans="1:33" ht="12.75">
      <c r="A47" s="7" t="s">
        <v>104</v>
      </c>
      <c r="B47" s="8" t="s">
        <v>105</v>
      </c>
      <c r="C47" s="8"/>
      <c r="D47" s="9">
        <f>VLOOKUP(A47,'ACCESS alloactions'!$A$2:$B$62,2,FALSE)</f>
        <v>4505293.1</v>
      </c>
      <c r="E47" s="10">
        <f t="shared" si="0"/>
        <v>0.09999999962747097</v>
      </c>
      <c r="F47" s="12">
        <v>244925</v>
      </c>
      <c r="G47" s="12">
        <v>244925</v>
      </c>
      <c r="H47" s="12">
        <v>244925</v>
      </c>
      <c r="I47" s="12">
        <v>244925</v>
      </c>
      <c r="J47" s="12">
        <v>244925</v>
      </c>
      <c r="K47" s="12">
        <v>244925</v>
      </c>
      <c r="L47" s="12">
        <v>244925</v>
      </c>
      <c r="M47" s="12">
        <v>244925</v>
      </c>
      <c r="N47" s="12">
        <v>0</v>
      </c>
      <c r="O47" s="12">
        <v>0</v>
      </c>
      <c r="P47" s="12">
        <v>517592</v>
      </c>
      <c r="Q47" s="12">
        <v>783043</v>
      </c>
      <c r="R47" s="12">
        <v>0</v>
      </c>
      <c r="S47" s="12">
        <v>0</v>
      </c>
      <c r="T47" s="12">
        <v>244695</v>
      </c>
      <c r="U47" s="12">
        <v>0</v>
      </c>
      <c r="V47" s="12">
        <v>1000563</v>
      </c>
      <c r="W47" s="12">
        <v>0</v>
      </c>
      <c r="X47" s="12">
        <v>0</v>
      </c>
      <c r="Y47" s="12">
        <v>0</v>
      </c>
      <c r="Z47" s="12">
        <v>0</v>
      </c>
      <c r="AA47" s="12">
        <v>0</v>
      </c>
      <c r="AB47" s="12">
        <v>0</v>
      </c>
      <c r="AC47" s="12">
        <v>0</v>
      </c>
      <c r="AD47" s="12">
        <v>0</v>
      </c>
      <c r="AE47" s="12">
        <v>0</v>
      </c>
      <c r="AF47" s="12">
        <v>0</v>
      </c>
      <c r="AG47" s="13">
        <f t="shared" si="1"/>
        <v>4505293</v>
      </c>
    </row>
    <row r="48" spans="1:33" ht="12.75">
      <c r="A48" s="7" t="s">
        <v>106</v>
      </c>
      <c r="B48" s="8" t="s">
        <v>107</v>
      </c>
      <c r="C48" s="8"/>
      <c r="D48" s="9">
        <f>VLOOKUP(A48,'ACCESS alloactions'!$A$2:$B$62,2,FALSE)</f>
        <v>940655.7</v>
      </c>
      <c r="E48" s="10">
        <f t="shared" si="0"/>
        <v>-0.30000000004656613</v>
      </c>
      <c r="F48" s="12">
        <v>47834</v>
      </c>
      <c r="G48" s="12">
        <v>47834</v>
      </c>
      <c r="H48" s="12">
        <v>47834</v>
      </c>
      <c r="I48" s="12">
        <v>47834</v>
      </c>
      <c r="J48" s="12">
        <v>47834</v>
      </c>
      <c r="K48" s="12">
        <v>30466</v>
      </c>
      <c r="L48" s="12">
        <v>47834</v>
      </c>
      <c r="M48" s="12">
        <v>47834</v>
      </c>
      <c r="N48" s="12">
        <v>106235</v>
      </c>
      <c r="O48" s="12">
        <v>99873</v>
      </c>
      <c r="P48" s="12">
        <v>58878</v>
      </c>
      <c r="Q48" s="12">
        <v>58883</v>
      </c>
      <c r="R48" s="12">
        <v>0</v>
      </c>
      <c r="S48" s="12">
        <v>0</v>
      </c>
      <c r="T48" s="12">
        <f>54832+196651</f>
        <v>251483</v>
      </c>
      <c r="U48" s="12">
        <v>0</v>
      </c>
      <c r="V48" s="12">
        <v>0</v>
      </c>
      <c r="W48" s="12">
        <v>0</v>
      </c>
      <c r="X48" s="12">
        <v>0</v>
      </c>
      <c r="Y48" s="12">
        <v>0</v>
      </c>
      <c r="Z48" s="12">
        <v>0</v>
      </c>
      <c r="AA48" s="12">
        <v>0</v>
      </c>
      <c r="AB48" s="12">
        <v>0</v>
      </c>
      <c r="AC48" s="12">
        <v>0</v>
      </c>
      <c r="AD48" s="12">
        <v>0</v>
      </c>
      <c r="AE48" s="12">
        <v>0</v>
      </c>
      <c r="AF48" s="12">
        <v>0</v>
      </c>
      <c r="AG48" s="13">
        <f t="shared" si="1"/>
        <v>940656</v>
      </c>
    </row>
    <row r="49" spans="1:33" ht="12.75">
      <c r="A49" s="7" t="s">
        <v>108</v>
      </c>
      <c r="B49" s="8" t="s">
        <v>109</v>
      </c>
      <c r="C49" s="8"/>
      <c r="D49" s="9">
        <f>VLOOKUP(A49,'ACCESS alloactions'!$A$2:$B$62,2,FALSE)</f>
        <v>971262.9</v>
      </c>
      <c r="E49" s="10">
        <f t="shared" si="0"/>
        <v>-0.09999999997671694</v>
      </c>
      <c r="F49" s="12">
        <v>50895</v>
      </c>
      <c r="G49" s="12">
        <v>50895</v>
      </c>
      <c r="H49" s="12">
        <v>50895</v>
      </c>
      <c r="I49" s="12">
        <v>50895</v>
      </c>
      <c r="J49" s="12">
        <v>50895</v>
      </c>
      <c r="K49" s="12">
        <v>26340</v>
      </c>
      <c r="L49" s="12">
        <v>157029</v>
      </c>
      <c r="M49" s="12">
        <v>66057</v>
      </c>
      <c r="N49" s="12">
        <v>66057</v>
      </c>
      <c r="O49" s="12">
        <v>187837</v>
      </c>
      <c r="P49" s="12">
        <v>77910</v>
      </c>
      <c r="Q49" s="12">
        <v>77906</v>
      </c>
      <c r="R49" s="12">
        <v>57652</v>
      </c>
      <c r="S49" s="12">
        <v>0</v>
      </c>
      <c r="T49" s="12">
        <v>0</v>
      </c>
      <c r="U49" s="12">
        <v>0</v>
      </c>
      <c r="V49" s="12">
        <v>0</v>
      </c>
      <c r="W49" s="12">
        <v>0</v>
      </c>
      <c r="X49" s="12">
        <v>0</v>
      </c>
      <c r="Y49" s="12">
        <v>0</v>
      </c>
      <c r="Z49" s="12">
        <v>0</v>
      </c>
      <c r="AA49" s="12">
        <v>0</v>
      </c>
      <c r="AB49" s="12">
        <v>0</v>
      </c>
      <c r="AC49" s="12">
        <v>0</v>
      </c>
      <c r="AD49" s="12">
        <v>0</v>
      </c>
      <c r="AE49" s="12">
        <v>0</v>
      </c>
      <c r="AF49" s="12">
        <v>0</v>
      </c>
      <c r="AG49" s="13">
        <f t="shared" si="1"/>
        <v>971263</v>
      </c>
    </row>
    <row r="50" spans="1:33" ht="12.75">
      <c r="A50" s="7" t="s">
        <v>110</v>
      </c>
      <c r="B50" s="8" t="s">
        <v>111</v>
      </c>
      <c r="C50" s="8"/>
      <c r="D50" s="9">
        <f>VLOOKUP(A50,'ACCESS alloactions'!$A$2:$B$62,2,FALSE)</f>
        <v>684267.5</v>
      </c>
      <c r="E50" s="10">
        <f t="shared" si="0"/>
        <v>-0.5</v>
      </c>
      <c r="F50" s="12">
        <v>51315</v>
      </c>
      <c r="G50" s="12">
        <v>51315</v>
      </c>
      <c r="H50" s="12">
        <v>51315</v>
      </c>
      <c r="I50" s="12">
        <v>51315</v>
      </c>
      <c r="J50" s="12">
        <v>51315</v>
      </c>
      <c r="K50" s="12">
        <v>51315</v>
      </c>
      <c r="L50" s="12">
        <v>51315</v>
      </c>
      <c r="M50" s="12">
        <v>36243</v>
      </c>
      <c r="N50" s="12">
        <v>7782</v>
      </c>
      <c r="O50" s="12">
        <v>46478</v>
      </c>
      <c r="P50" s="12">
        <v>108793</v>
      </c>
      <c r="Q50" s="12">
        <v>52147</v>
      </c>
      <c r="R50" s="12">
        <v>0</v>
      </c>
      <c r="S50" s="12">
        <v>0</v>
      </c>
      <c r="T50" s="12">
        <v>0</v>
      </c>
      <c r="U50" s="12">
        <v>0</v>
      </c>
      <c r="V50" s="12">
        <v>18743</v>
      </c>
      <c r="W50" s="12">
        <v>45463</v>
      </c>
      <c r="X50" s="12">
        <v>9414</v>
      </c>
      <c r="Y50" s="12">
        <v>0</v>
      </c>
      <c r="Z50" s="12">
        <v>0</v>
      </c>
      <c r="AA50" s="12">
        <v>0</v>
      </c>
      <c r="AB50" s="12">
        <v>0</v>
      </c>
      <c r="AC50" s="12">
        <v>0</v>
      </c>
      <c r="AD50" s="12">
        <v>0</v>
      </c>
      <c r="AE50" s="12">
        <v>0</v>
      </c>
      <c r="AF50" s="12">
        <v>0</v>
      </c>
      <c r="AG50" s="13">
        <f t="shared" si="1"/>
        <v>684268</v>
      </c>
    </row>
    <row r="51" spans="1:33" ht="12.75">
      <c r="A51" s="7" t="s">
        <v>112</v>
      </c>
      <c r="B51" s="8" t="s">
        <v>113</v>
      </c>
      <c r="C51" s="8"/>
      <c r="D51" s="9">
        <f>VLOOKUP(A51,'ACCESS alloactions'!$A$2:$B$62,2,FALSE)</f>
        <v>1744821.3</v>
      </c>
      <c r="E51" s="10">
        <f t="shared" si="0"/>
        <v>0.30000000004656613</v>
      </c>
      <c r="F51" s="12">
        <v>106512</v>
      </c>
      <c r="G51" s="12">
        <v>106512</v>
      </c>
      <c r="H51" s="12">
        <v>106512</v>
      </c>
      <c r="I51" s="12">
        <v>106512</v>
      </c>
      <c r="J51" s="12">
        <v>106512</v>
      </c>
      <c r="K51" s="12">
        <v>0</v>
      </c>
      <c r="L51" s="12">
        <v>0</v>
      </c>
      <c r="M51" s="12">
        <v>55735</v>
      </c>
      <c r="N51" s="12">
        <v>0</v>
      </c>
      <c r="O51" s="12">
        <v>339469</v>
      </c>
      <c r="P51" s="12">
        <v>105825</v>
      </c>
      <c r="Q51" s="12">
        <v>105828</v>
      </c>
      <c r="R51" s="12">
        <v>0</v>
      </c>
      <c r="S51" s="12">
        <v>0</v>
      </c>
      <c r="T51" s="12">
        <v>11725</v>
      </c>
      <c r="U51" s="12">
        <v>0</v>
      </c>
      <c r="V51" s="12">
        <v>593679</v>
      </c>
      <c r="W51" s="12">
        <v>0</v>
      </c>
      <c r="X51" s="12">
        <v>0</v>
      </c>
      <c r="Y51" s="12">
        <v>0</v>
      </c>
      <c r="Z51" s="12">
        <v>0</v>
      </c>
      <c r="AA51" s="12">
        <v>0</v>
      </c>
      <c r="AB51" s="12">
        <v>0</v>
      </c>
      <c r="AC51" s="12">
        <v>0</v>
      </c>
      <c r="AD51" s="12">
        <v>0</v>
      </c>
      <c r="AE51" s="12">
        <v>0</v>
      </c>
      <c r="AF51" s="12">
        <v>0</v>
      </c>
      <c r="AG51" s="13">
        <f t="shared" si="1"/>
        <v>1744821</v>
      </c>
    </row>
    <row r="52" spans="1:33" ht="12.75">
      <c r="A52" s="7" t="s">
        <v>114</v>
      </c>
      <c r="B52" s="8" t="s">
        <v>115</v>
      </c>
      <c r="C52" s="8"/>
      <c r="D52" s="9">
        <f>VLOOKUP(A52,'ACCESS alloactions'!$A$2:$B$62,2,FALSE)</f>
        <v>1589474.7</v>
      </c>
      <c r="E52" s="10">
        <f t="shared" si="0"/>
        <v>-0.30000000004656613</v>
      </c>
      <c r="F52" s="12">
        <v>90010</v>
      </c>
      <c r="G52" s="12">
        <v>90010</v>
      </c>
      <c r="H52" s="12">
        <v>90010</v>
      </c>
      <c r="I52" s="12">
        <v>90010</v>
      </c>
      <c r="J52" s="12">
        <v>90010</v>
      </c>
      <c r="K52" s="12">
        <v>90010</v>
      </c>
      <c r="L52" s="12">
        <v>90010</v>
      </c>
      <c r="M52" s="12">
        <v>90010</v>
      </c>
      <c r="N52" s="12">
        <v>90010</v>
      </c>
      <c r="O52" s="12">
        <v>217004</v>
      </c>
      <c r="P52" s="12">
        <v>0</v>
      </c>
      <c r="Q52" s="12">
        <v>0</v>
      </c>
      <c r="R52" s="12">
        <v>0</v>
      </c>
      <c r="S52" s="12">
        <v>0</v>
      </c>
      <c r="T52" s="12">
        <f>-141268+-146522</f>
        <v>-287790</v>
      </c>
      <c r="U52" s="12">
        <v>141268</v>
      </c>
      <c r="V52" s="12">
        <v>388660</v>
      </c>
      <c r="W52" s="12">
        <v>77732</v>
      </c>
      <c r="X52" s="12">
        <v>242511</v>
      </c>
      <c r="Y52" s="12">
        <v>0</v>
      </c>
      <c r="Z52" s="12">
        <v>0</v>
      </c>
      <c r="AA52" s="12">
        <v>0</v>
      </c>
      <c r="AB52" s="12">
        <v>0</v>
      </c>
      <c r="AC52" s="12">
        <v>0</v>
      </c>
      <c r="AD52" s="12">
        <v>0</v>
      </c>
      <c r="AE52" s="12">
        <v>0</v>
      </c>
      <c r="AF52" s="12">
        <v>0</v>
      </c>
      <c r="AG52" s="13">
        <f t="shared" si="1"/>
        <v>1589475</v>
      </c>
    </row>
    <row r="53" spans="1:33" ht="12.75">
      <c r="A53" s="7" t="s">
        <v>116</v>
      </c>
      <c r="B53" s="8" t="s">
        <v>117</v>
      </c>
      <c r="C53" s="8"/>
      <c r="D53" s="9">
        <f>VLOOKUP(A53,'ACCESS alloactions'!$A$2:$B$62,2,FALSE)</f>
        <v>778639.9</v>
      </c>
      <c r="E53" s="10">
        <f t="shared" si="0"/>
        <v>-0.09999999997671694</v>
      </c>
      <c r="F53" s="12">
        <v>60861</v>
      </c>
      <c r="G53" s="12">
        <v>60861</v>
      </c>
      <c r="H53" s="12">
        <v>60861</v>
      </c>
      <c r="I53" s="12">
        <v>60861</v>
      </c>
      <c r="J53" s="12">
        <v>60861</v>
      </c>
      <c r="K53" s="12">
        <v>60861</v>
      </c>
      <c r="L53" s="12">
        <v>60861</v>
      </c>
      <c r="M53" s="12">
        <v>44998</v>
      </c>
      <c r="N53" s="12">
        <v>60861</v>
      </c>
      <c r="O53" s="12">
        <v>60861</v>
      </c>
      <c r="P53" s="12">
        <v>85048</v>
      </c>
      <c r="Q53" s="12">
        <v>0</v>
      </c>
      <c r="R53" s="12">
        <v>0</v>
      </c>
      <c r="S53" s="12">
        <v>0</v>
      </c>
      <c r="T53" s="12">
        <v>0</v>
      </c>
      <c r="U53" s="12">
        <v>41206</v>
      </c>
      <c r="V53" s="12">
        <v>0</v>
      </c>
      <c r="W53" s="12">
        <v>0</v>
      </c>
      <c r="X53" s="12">
        <v>59639</v>
      </c>
      <c r="Y53" s="12">
        <v>0</v>
      </c>
      <c r="Z53" s="12">
        <v>0</v>
      </c>
      <c r="AA53" s="12">
        <v>0</v>
      </c>
      <c r="AB53" s="12">
        <v>0</v>
      </c>
      <c r="AC53" s="12">
        <v>0</v>
      </c>
      <c r="AD53" s="12">
        <v>0</v>
      </c>
      <c r="AE53" s="12">
        <v>0</v>
      </c>
      <c r="AF53" s="12">
        <v>0</v>
      </c>
      <c r="AG53" s="13">
        <f t="shared" si="1"/>
        <v>778640</v>
      </c>
    </row>
    <row r="54" spans="1:33" ht="12.75">
      <c r="A54" s="7" t="s">
        <v>118</v>
      </c>
      <c r="B54" s="8" t="s">
        <v>119</v>
      </c>
      <c r="C54" s="8"/>
      <c r="D54" s="9">
        <f>VLOOKUP(A54,'ACCESS alloactions'!$A$2:$B$62,2,FALSE)</f>
        <v>1378782.2</v>
      </c>
      <c r="E54" s="10">
        <f t="shared" si="0"/>
        <v>0.19999999995343387</v>
      </c>
      <c r="F54" s="12">
        <v>106256</v>
      </c>
      <c r="G54" s="12">
        <v>106256</v>
      </c>
      <c r="H54" s="12">
        <v>106256</v>
      </c>
      <c r="I54" s="12">
        <v>106256</v>
      </c>
      <c r="J54" s="12">
        <v>106256</v>
      </c>
      <c r="K54" s="12">
        <v>106256</v>
      </c>
      <c r="L54" s="12">
        <v>106256</v>
      </c>
      <c r="M54" s="12">
        <v>106256</v>
      </c>
      <c r="N54" s="12">
        <v>0</v>
      </c>
      <c r="O54" s="12">
        <v>0</v>
      </c>
      <c r="P54" s="12">
        <v>239323</v>
      </c>
      <c r="Q54" s="12">
        <v>0</v>
      </c>
      <c r="R54" s="12">
        <v>0</v>
      </c>
      <c r="S54" s="12">
        <v>0</v>
      </c>
      <c r="T54" s="12">
        <v>0</v>
      </c>
      <c r="U54" s="12">
        <v>0</v>
      </c>
      <c r="V54" s="12">
        <v>0</v>
      </c>
      <c r="W54" s="12">
        <v>69750</v>
      </c>
      <c r="X54" s="12">
        <v>219661</v>
      </c>
      <c r="Y54" s="12">
        <v>0</v>
      </c>
      <c r="Z54" s="12">
        <v>0</v>
      </c>
      <c r="AA54" s="12">
        <v>0</v>
      </c>
      <c r="AB54" s="12">
        <v>0</v>
      </c>
      <c r="AC54" s="12">
        <v>0</v>
      </c>
      <c r="AD54" s="12">
        <v>0</v>
      </c>
      <c r="AE54" s="12">
        <v>0</v>
      </c>
      <c r="AF54" s="12">
        <v>0</v>
      </c>
      <c r="AG54" s="13">
        <f t="shared" si="1"/>
        <v>1378782</v>
      </c>
    </row>
    <row r="55" spans="1:33" ht="12.75">
      <c r="A55" s="7" t="s">
        <v>120</v>
      </c>
      <c r="B55" s="8" t="s">
        <v>121</v>
      </c>
      <c r="C55" s="8"/>
      <c r="D55" s="9">
        <f>VLOOKUP(A55,'ACCESS alloactions'!$A$2:$B$62,2,FALSE)</f>
        <v>839071.9</v>
      </c>
      <c r="E55" s="10">
        <f t="shared" si="0"/>
        <v>-0.09999999997671694</v>
      </c>
      <c r="F55" s="12">
        <v>65897</v>
      </c>
      <c r="G55" s="12">
        <v>65897</v>
      </c>
      <c r="H55" s="12">
        <v>65897</v>
      </c>
      <c r="I55" s="12">
        <v>65897</v>
      </c>
      <c r="J55" s="12">
        <v>65897</v>
      </c>
      <c r="K55" s="12">
        <v>65897</v>
      </c>
      <c r="L55" s="12">
        <v>65897</v>
      </c>
      <c r="M55" s="12">
        <v>0</v>
      </c>
      <c r="N55" s="12">
        <v>0</v>
      </c>
      <c r="O55" s="12">
        <v>0</v>
      </c>
      <c r="P55" s="12">
        <v>62227</v>
      </c>
      <c r="Q55" s="12">
        <v>75605</v>
      </c>
      <c r="R55" s="12">
        <v>138517</v>
      </c>
      <c r="S55" s="12">
        <v>0</v>
      </c>
      <c r="T55" s="12">
        <v>0</v>
      </c>
      <c r="U55" s="12">
        <v>0</v>
      </c>
      <c r="V55" s="12">
        <v>101444</v>
      </c>
      <c r="W55" s="12">
        <v>0</v>
      </c>
      <c r="X55" s="12">
        <v>0</v>
      </c>
      <c r="Y55" s="12">
        <v>0</v>
      </c>
      <c r="Z55" s="12">
        <v>0</v>
      </c>
      <c r="AA55" s="12">
        <v>0</v>
      </c>
      <c r="AB55" s="12">
        <v>0</v>
      </c>
      <c r="AC55" s="12">
        <v>0</v>
      </c>
      <c r="AD55" s="12">
        <v>0</v>
      </c>
      <c r="AE55" s="12">
        <v>0</v>
      </c>
      <c r="AF55" s="12">
        <v>0</v>
      </c>
      <c r="AG55" s="13">
        <f t="shared" si="1"/>
        <v>839072</v>
      </c>
    </row>
    <row r="56" spans="1:33" ht="12.75">
      <c r="A56" s="7" t="s">
        <v>122</v>
      </c>
      <c r="B56" s="8" t="s">
        <v>123</v>
      </c>
      <c r="C56" s="8"/>
      <c r="D56" s="9">
        <f>VLOOKUP(A56,'ACCESS alloactions'!$A$2:$B$62,2,FALSE)</f>
        <v>326473</v>
      </c>
      <c r="E56" s="10">
        <f t="shared" si="0"/>
        <v>0</v>
      </c>
      <c r="F56" s="12">
        <v>9949</v>
      </c>
      <c r="G56" s="12">
        <v>9949</v>
      </c>
      <c r="H56" s="12">
        <v>9949</v>
      </c>
      <c r="I56" s="12">
        <v>9949</v>
      </c>
      <c r="J56" s="12">
        <v>9949</v>
      </c>
      <c r="K56" s="12">
        <v>9949</v>
      </c>
      <c r="L56" s="12">
        <v>0</v>
      </c>
      <c r="M56" s="12">
        <v>6740</v>
      </c>
      <c r="N56" s="12">
        <v>23674</v>
      </c>
      <c r="O56" s="12">
        <v>11474</v>
      </c>
      <c r="P56" s="12">
        <f>132424+11473</f>
        <v>143897</v>
      </c>
      <c r="Q56" s="12">
        <v>0</v>
      </c>
      <c r="R56" s="12">
        <v>45892</v>
      </c>
      <c r="S56" s="12">
        <v>0</v>
      </c>
      <c r="T56" s="12">
        <v>35102</v>
      </c>
      <c r="U56" s="12">
        <v>0</v>
      </c>
      <c r="V56" s="12">
        <v>0</v>
      </c>
      <c r="W56" s="12">
        <v>0</v>
      </c>
      <c r="X56" s="12">
        <v>0</v>
      </c>
      <c r="Y56" s="12">
        <v>0</v>
      </c>
      <c r="Z56" s="12">
        <v>0</v>
      </c>
      <c r="AA56" s="12">
        <v>0</v>
      </c>
      <c r="AB56" s="12">
        <v>0</v>
      </c>
      <c r="AC56" s="12">
        <v>0</v>
      </c>
      <c r="AD56" s="12">
        <v>0</v>
      </c>
      <c r="AE56" s="12">
        <v>0</v>
      </c>
      <c r="AF56" s="12">
        <v>0</v>
      </c>
      <c r="AG56" s="13">
        <f t="shared" si="1"/>
        <v>326473</v>
      </c>
    </row>
    <row r="57" spans="1:33" ht="12.75">
      <c r="A57" s="7" t="s">
        <v>124</v>
      </c>
      <c r="B57" s="8" t="s">
        <v>125</v>
      </c>
      <c r="C57" s="8"/>
      <c r="D57" s="9">
        <f>VLOOKUP(A57,'ACCESS alloactions'!$A$2:$B$62,2,FALSE)</f>
        <v>1964264.3</v>
      </c>
      <c r="E57" s="10">
        <f t="shared" si="0"/>
        <v>0.30000000004656613</v>
      </c>
      <c r="F57" s="12">
        <v>0</v>
      </c>
      <c r="G57" s="12">
        <v>278022</v>
      </c>
      <c r="H57" s="12">
        <v>0</v>
      </c>
      <c r="I57" s="12">
        <v>92674</v>
      </c>
      <c r="J57" s="12">
        <v>92674</v>
      </c>
      <c r="K57" s="12">
        <v>92674</v>
      </c>
      <c r="L57" s="12">
        <v>92674</v>
      </c>
      <c r="M57" s="12">
        <v>92674</v>
      </c>
      <c r="N57" s="12">
        <v>92674</v>
      </c>
      <c r="O57" s="12">
        <v>796004</v>
      </c>
      <c r="P57" s="12">
        <v>0</v>
      </c>
      <c r="Q57" s="12">
        <v>0</v>
      </c>
      <c r="R57" s="12">
        <v>0</v>
      </c>
      <c r="S57" s="12">
        <v>0</v>
      </c>
      <c r="T57" s="12">
        <v>0</v>
      </c>
      <c r="U57" s="12">
        <f>127205-33703</f>
        <v>93502</v>
      </c>
      <c r="V57" s="12">
        <v>240692</v>
      </c>
      <c r="W57" s="12">
        <v>0</v>
      </c>
      <c r="X57" s="12">
        <v>0</v>
      </c>
      <c r="Y57" s="12">
        <v>0</v>
      </c>
      <c r="Z57" s="12">
        <v>0</v>
      </c>
      <c r="AA57" s="12">
        <v>0</v>
      </c>
      <c r="AB57" s="12">
        <v>0</v>
      </c>
      <c r="AC57" s="12">
        <v>0</v>
      </c>
      <c r="AD57" s="12">
        <v>0</v>
      </c>
      <c r="AE57" s="12">
        <v>0</v>
      </c>
      <c r="AF57" s="12">
        <v>0</v>
      </c>
      <c r="AG57" s="13">
        <f t="shared" si="1"/>
        <v>1964264</v>
      </c>
    </row>
    <row r="58" spans="1:33" ht="12.75">
      <c r="A58" s="7" t="s">
        <v>126</v>
      </c>
      <c r="B58" s="8" t="s">
        <v>127</v>
      </c>
      <c r="C58" s="8"/>
      <c r="D58" s="9">
        <f>VLOOKUP(A58,'ACCESS alloactions'!$A$2:$B$62,2,FALSE)</f>
        <v>858688</v>
      </c>
      <c r="E58" s="10">
        <f t="shared" si="0"/>
        <v>0</v>
      </c>
      <c r="F58" s="12">
        <v>152582</v>
      </c>
      <c r="G58" s="12">
        <f>59908+27142</f>
        <v>87050</v>
      </c>
      <c r="H58" s="12">
        <v>0</v>
      </c>
      <c r="I58" s="12">
        <v>0</v>
      </c>
      <c r="J58" s="12">
        <v>59908</v>
      </c>
      <c r="K58" s="12">
        <v>59908</v>
      </c>
      <c r="L58" s="12">
        <v>59908</v>
      </c>
      <c r="M58" s="12">
        <v>39933</v>
      </c>
      <c r="N58" s="12">
        <f>59908+93798</f>
        <v>153706</v>
      </c>
      <c r="O58" s="12">
        <v>0</v>
      </c>
      <c r="P58" s="12">
        <v>80952</v>
      </c>
      <c r="Q58" s="12">
        <v>64901</v>
      </c>
      <c r="R58" s="12">
        <v>0</v>
      </c>
      <c r="S58" s="12">
        <v>0</v>
      </c>
      <c r="T58" s="12">
        <v>0</v>
      </c>
      <c r="U58" s="12">
        <v>26691</v>
      </c>
      <c r="V58" s="12">
        <v>0</v>
      </c>
      <c r="W58" s="12">
        <v>0</v>
      </c>
      <c r="X58" s="12">
        <v>73149</v>
      </c>
      <c r="Y58" s="12">
        <v>0</v>
      </c>
      <c r="Z58" s="12">
        <v>0</v>
      </c>
      <c r="AA58" s="12">
        <v>0</v>
      </c>
      <c r="AB58" s="12">
        <v>0</v>
      </c>
      <c r="AC58" s="12">
        <v>0</v>
      </c>
      <c r="AD58" s="12">
        <v>0</v>
      </c>
      <c r="AE58" s="12">
        <v>0</v>
      </c>
      <c r="AF58" s="12">
        <v>0</v>
      </c>
      <c r="AG58" s="13">
        <f t="shared" si="1"/>
        <v>858688</v>
      </c>
    </row>
    <row r="59" spans="1:33" ht="12.75">
      <c r="A59" s="7" t="s">
        <v>128</v>
      </c>
      <c r="B59" s="8" t="s">
        <v>129</v>
      </c>
      <c r="C59" s="8"/>
      <c r="D59" s="9">
        <f>VLOOKUP(A59,'ACCESS alloactions'!$A$2:$B$62,2,FALSE)</f>
        <v>229497.8</v>
      </c>
      <c r="E59" s="10">
        <f t="shared" si="0"/>
        <v>-0.20000000001164153</v>
      </c>
      <c r="F59" s="12">
        <v>16552</v>
      </c>
      <c r="G59" s="12">
        <v>16552</v>
      </c>
      <c r="H59" s="12">
        <v>16552</v>
      </c>
      <c r="I59" s="12">
        <v>16552</v>
      </c>
      <c r="J59" s="12">
        <v>16552</v>
      </c>
      <c r="K59" s="12">
        <v>16552</v>
      </c>
      <c r="L59" s="12">
        <v>16552</v>
      </c>
      <c r="M59" s="12">
        <v>12313</v>
      </c>
      <c r="N59" s="12">
        <v>16552</v>
      </c>
      <c r="O59" s="12">
        <v>16552</v>
      </c>
      <c r="P59" s="12">
        <v>16552</v>
      </c>
      <c r="Q59" s="12">
        <v>0</v>
      </c>
      <c r="R59" s="12">
        <v>0</v>
      </c>
      <c r="S59" s="12">
        <v>0</v>
      </c>
      <c r="T59" s="12">
        <v>0</v>
      </c>
      <c r="U59" s="12">
        <v>34313</v>
      </c>
      <c r="V59" s="12">
        <v>0</v>
      </c>
      <c r="W59" s="12">
        <v>0</v>
      </c>
      <c r="X59" s="12">
        <v>17352</v>
      </c>
      <c r="Y59" s="12">
        <v>0</v>
      </c>
      <c r="Z59" s="12">
        <v>0</v>
      </c>
      <c r="AA59" s="12">
        <v>0</v>
      </c>
      <c r="AB59" s="12">
        <v>0</v>
      </c>
      <c r="AC59" s="12">
        <v>0</v>
      </c>
      <c r="AD59" s="12">
        <v>0</v>
      </c>
      <c r="AE59" s="12">
        <v>0</v>
      </c>
      <c r="AF59" s="12">
        <v>0</v>
      </c>
      <c r="AG59" s="13">
        <f t="shared" si="1"/>
        <v>229498</v>
      </c>
    </row>
    <row r="60" spans="1:33" ht="12.75">
      <c r="A60" s="21" t="s">
        <v>133</v>
      </c>
      <c r="B60" s="14" t="s">
        <v>130</v>
      </c>
      <c r="C60" s="15"/>
      <c r="D60" s="9">
        <f>VLOOKUP(A60,'ACCESS alloactions'!$A$2:$B$62,2,FALSE)</f>
        <v>144932.7</v>
      </c>
      <c r="E60" s="10">
        <f t="shared" si="0"/>
        <v>-0.29999999998835847</v>
      </c>
      <c r="F60" s="12">
        <v>0</v>
      </c>
      <c r="G60" s="12">
        <v>0</v>
      </c>
      <c r="H60" s="12">
        <v>0</v>
      </c>
      <c r="I60" s="12">
        <v>0</v>
      </c>
      <c r="J60" s="12">
        <v>0</v>
      </c>
      <c r="K60" s="12">
        <v>0</v>
      </c>
      <c r="L60" s="12">
        <v>0</v>
      </c>
      <c r="M60" s="12">
        <v>0</v>
      </c>
      <c r="N60" s="12">
        <v>0</v>
      </c>
      <c r="O60" s="12">
        <v>0</v>
      </c>
      <c r="P60" s="12">
        <v>0</v>
      </c>
      <c r="Q60" s="12">
        <v>71597</v>
      </c>
      <c r="R60" s="12">
        <v>0</v>
      </c>
      <c r="S60" s="12">
        <v>0</v>
      </c>
      <c r="T60" s="12">
        <v>0</v>
      </c>
      <c r="U60" s="12">
        <v>0</v>
      </c>
      <c r="V60" s="12">
        <v>0</v>
      </c>
      <c r="W60" s="12">
        <v>0</v>
      </c>
      <c r="X60" s="12">
        <v>0</v>
      </c>
      <c r="Y60" s="12">
        <v>0</v>
      </c>
      <c r="Z60" s="12">
        <v>0</v>
      </c>
      <c r="AA60" s="12">
        <v>0</v>
      </c>
      <c r="AB60" s="12">
        <v>0</v>
      </c>
      <c r="AC60" s="12">
        <v>0</v>
      </c>
      <c r="AD60" s="12">
        <v>0</v>
      </c>
      <c r="AE60" s="12">
        <v>73336</v>
      </c>
      <c r="AF60" s="12">
        <v>0</v>
      </c>
      <c r="AG60" s="13">
        <f t="shared" si="1"/>
        <v>144933</v>
      </c>
    </row>
    <row r="61" spans="1:33" ht="12.75">
      <c r="A61" s="21" t="s">
        <v>134</v>
      </c>
      <c r="B61" s="14" t="s">
        <v>147</v>
      </c>
      <c r="C61" s="15"/>
      <c r="D61" s="9">
        <f>VLOOKUP(A61,'ACCESS alloactions'!$A$2:$B$62,2,FALSE)</f>
        <v>15329.7</v>
      </c>
      <c r="E61" s="10">
        <f t="shared" si="0"/>
        <v>-0.2999999999992724</v>
      </c>
      <c r="F61" s="12">
        <v>0</v>
      </c>
      <c r="G61" s="12">
        <v>0</v>
      </c>
      <c r="H61" s="12">
        <v>0</v>
      </c>
      <c r="I61" s="12">
        <v>0</v>
      </c>
      <c r="J61" s="12">
        <v>0</v>
      </c>
      <c r="K61" s="12">
        <v>0</v>
      </c>
      <c r="L61" s="12">
        <v>0</v>
      </c>
      <c r="M61" s="12">
        <v>0</v>
      </c>
      <c r="N61" s="12">
        <v>15235</v>
      </c>
      <c r="O61" s="12">
        <v>0</v>
      </c>
      <c r="P61" s="12">
        <v>0</v>
      </c>
      <c r="Q61" s="12">
        <v>0</v>
      </c>
      <c r="R61" s="12">
        <v>0</v>
      </c>
      <c r="S61" s="12">
        <v>0</v>
      </c>
      <c r="T61" s="12">
        <v>0</v>
      </c>
      <c r="U61" s="12">
        <v>0</v>
      </c>
      <c r="V61" s="12">
        <v>0</v>
      </c>
      <c r="W61" s="12">
        <v>0</v>
      </c>
      <c r="X61" s="12">
        <v>0</v>
      </c>
      <c r="Y61" s="12">
        <v>95</v>
      </c>
      <c r="Z61" s="12">
        <v>0</v>
      </c>
      <c r="AA61" s="12">
        <v>0</v>
      </c>
      <c r="AB61" s="12">
        <v>0</v>
      </c>
      <c r="AC61" s="12">
        <v>0</v>
      </c>
      <c r="AD61" s="12">
        <v>0</v>
      </c>
      <c r="AE61" s="12">
        <v>0</v>
      </c>
      <c r="AF61" s="12">
        <v>0</v>
      </c>
      <c r="AG61" s="13">
        <f t="shared" si="1"/>
        <v>15330</v>
      </c>
    </row>
    <row r="62" spans="1:33" ht="12.75">
      <c r="A62" s="28" t="s">
        <v>135</v>
      </c>
      <c r="B62" s="14" t="s">
        <v>148</v>
      </c>
      <c r="C62" s="15"/>
      <c r="D62" s="9">
        <f>VLOOKUP(A62,'ACCESS alloactions'!$A$2:$B$62,2,FALSE)</f>
        <v>50664</v>
      </c>
      <c r="E62" s="10">
        <f t="shared" si="0"/>
        <v>16364</v>
      </c>
      <c r="F62" s="12">
        <v>0</v>
      </c>
      <c r="G62" s="12">
        <v>0</v>
      </c>
      <c r="H62" s="12">
        <v>0</v>
      </c>
      <c r="I62" s="12">
        <v>0</v>
      </c>
      <c r="J62" s="12">
        <v>0</v>
      </c>
      <c r="K62" s="12">
        <v>0</v>
      </c>
      <c r="L62" s="12">
        <v>0</v>
      </c>
      <c r="M62" s="12">
        <v>0</v>
      </c>
      <c r="N62" s="12">
        <v>0</v>
      </c>
      <c r="O62" s="12">
        <v>0</v>
      </c>
      <c r="P62" s="12">
        <v>0</v>
      </c>
      <c r="Q62" s="12">
        <v>0</v>
      </c>
      <c r="R62" s="12">
        <v>0</v>
      </c>
      <c r="S62" s="12">
        <v>0</v>
      </c>
      <c r="T62" s="27">
        <v>40533</v>
      </c>
      <c r="U62" s="12">
        <v>0</v>
      </c>
      <c r="V62" s="12">
        <v>0</v>
      </c>
      <c r="W62" s="12">
        <v>0</v>
      </c>
      <c r="X62" s="12">
        <v>9719</v>
      </c>
      <c r="Y62" s="12">
        <v>-35528</v>
      </c>
      <c r="Z62" s="12">
        <v>0</v>
      </c>
      <c r="AA62" s="12">
        <v>0</v>
      </c>
      <c r="AB62" s="12">
        <v>19576</v>
      </c>
      <c r="AC62" s="12">
        <v>0</v>
      </c>
      <c r="AD62" s="12">
        <v>0</v>
      </c>
      <c r="AE62" s="12">
        <v>0</v>
      </c>
      <c r="AF62" s="12">
        <v>16364</v>
      </c>
      <c r="AG62" s="13">
        <f t="shared" si="1"/>
        <v>50664</v>
      </c>
    </row>
    <row r="63" spans="1:33" ht="12.75">
      <c r="A63" s="21" t="s">
        <v>136</v>
      </c>
      <c r="B63" s="14" t="s">
        <v>149</v>
      </c>
      <c r="C63" s="15"/>
      <c r="D63" s="9">
        <f>VLOOKUP(A63,'ACCESS alloactions'!$A$2:$B$62,2,FALSE)</f>
        <v>140377.8</v>
      </c>
      <c r="E63" s="10">
        <f t="shared" si="0"/>
        <v>-0.20000000001164153</v>
      </c>
      <c r="F63" s="12">
        <v>0</v>
      </c>
      <c r="G63" s="12">
        <v>0</v>
      </c>
      <c r="H63" s="12">
        <v>0</v>
      </c>
      <c r="I63" s="12">
        <v>0</v>
      </c>
      <c r="J63" s="12">
        <v>0</v>
      </c>
      <c r="K63" s="12">
        <v>0</v>
      </c>
      <c r="L63" s="12">
        <v>0</v>
      </c>
      <c r="M63" s="12">
        <v>0</v>
      </c>
      <c r="N63" s="12">
        <v>0</v>
      </c>
      <c r="O63" s="12">
        <v>24477</v>
      </c>
      <c r="P63" s="12">
        <v>0</v>
      </c>
      <c r="Q63" s="12">
        <v>0</v>
      </c>
      <c r="R63" s="12">
        <v>0</v>
      </c>
      <c r="S63" s="12">
        <v>0</v>
      </c>
      <c r="T63" s="12">
        <v>0</v>
      </c>
      <c r="U63" s="12">
        <v>0</v>
      </c>
      <c r="V63" s="12">
        <v>0</v>
      </c>
      <c r="W63" s="12">
        <v>0</v>
      </c>
      <c r="X63" s="12">
        <f>23518+13710</f>
        <v>37228</v>
      </c>
      <c r="Y63" s="12">
        <v>0</v>
      </c>
      <c r="Z63" s="12">
        <v>18687</v>
      </c>
      <c r="AA63" s="12">
        <v>0</v>
      </c>
      <c r="AB63" s="12">
        <v>0</v>
      </c>
      <c r="AC63" s="12">
        <v>0</v>
      </c>
      <c r="AD63" s="12">
        <v>0</v>
      </c>
      <c r="AE63" s="12">
        <v>59986</v>
      </c>
      <c r="AF63" s="12">
        <v>0</v>
      </c>
      <c r="AG63" s="13">
        <f t="shared" si="1"/>
        <v>140378</v>
      </c>
    </row>
    <row r="64" spans="1:33" ht="12.75">
      <c r="A64" s="21" t="s">
        <v>137</v>
      </c>
      <c r="B64" s="14" t="s">
        <v>185</v>
      </c>
      <c r="C64" s="15"/>
      <c r="D64" s="9">
        <f>VLOOKUP(A64,'ACCESS alloactions'!$A$2:$B$62,2,FALSE)</f>
        <v>15076</v>
      </c>
      <c r="E64" s="10">
        <f t="shared" si="0"/>
        <v>0</v>
      </c>
      <c r="F64" s="12">
        <v>0</v>
      </c>
      <c r="G64" s="12">
        <v>0</v>
      </c>
      <c r="H64" s="12">
        <v>0</v>
      </c>
      <c r="I64" s="12">
        <v>0</v>
      </c>
      <c r="J64" s="12">
        <v>0</v>
      </c>
      <c r="K64" s="12">
        <v>0</v>
      </c>
      <c r="L64" s="12">
        <v>0</v>
      </c>
      <c r="M64" s="12">
        <v>0</v>
      </c>
      <c r="N64" s="12">
        <v>0</v>
      </c>
      <c r="O64" s="12">
        <v>0</v>
      </c>
      <c r="P64" s="12">
        <v>15076</v>
      </c>
      <c r="Q64" s="12">
        <v>0</v>
      </c>
      <c r="R64" s="12">
        <v>0</v>
      </c>
      <c r="S64" s="12">
        <v>0</v>
      </c>
      <c r="T64" s="12">
        <v>0</v>
      </c>
      <c r="U64" s="12">
        <v>0</v>
      </c>
      <c r="V64" s="12">
        <v>0</v>
      </c>
      <c r="W64" s="12">
        <v>0</v>
      </c>
      <c r="X64" s="12">
        <v>0</v>
      </c>
      <c r="Y64" s="12">
        <v>0</v>
      </c>
      <c r="Z64" s="12">
        <v>0</v>
      </c>
      <c r="AA64" s="12">
        <v>0</v>
      </c>
      <c r="AB64" s="12">
        <v>0</v>
      </c>
      <c r="AC64" s="12">
        <v>0</v>
      </c>
      <c r="AD64" s="12">
        <v>0</v>
      </c>
      <c r="AE64" s="12">
        <v>0</v>
      </c>
      <c r="AF64" s="12">
        <v>0</v>
      </c>
      <c r="AG64" s="13">
        <f t="shared" si="1"/>
        <v>15076</v>
      </c>
    </row>
    <row r="65" spans="1:33" ht="13.5" thickBot="1">
      <c r="A65" s="16" t="s">
        <v>131</v>
      </c>
      <c r="B65" s="8" t="s">
        <v>132</v>
      </c>
      <c r="C65" s="8"/>
      <c r="D65" s="9">
        <f>VLOOKUP(A65,'ACCESS alloactions'!$A$2:$B$62,2,FALSE)</f>
        <v>802079.7</v>
      </c>
      <c r="E65" s="10">
        <f t="shared" si="0"/>
        <v>-0.30000000004656613</v>
      </c>
      <c r="F65" s="12">
        <v>0</v>
      </c>
      <c r="G65" s="12">
        <v>0</v>
      </c>
      <c r="H65" s="12">
        <v>0</v>
      </c>
      <c r="I65" s="12">
        <v>0</v>
      </c>
      <c r="J65" s="12">
        <v>0</v>
      </c>
      <c r="K65" s="12">
        <v>0</v>
      </c>
      <c r="L65" s="12">
        <v>0</v>
      </c>
      <c r="M65" s="12">
        <v>0</v>
      </c>
      <c r="N65" s="12">
        <v>0</v>
      </c>
      <c r="O65" s="12">
        <v>86552</v>
      </c>
      <c r="P65" s="12">
        <v>0</v>
      </c>
      <c r="Q65" s="12">
        <v>451419</v>
      </c>
      <c r="R65" s="12">
        <v>0</v>
      </c>
      <c r="S65" s="12">
        <v>0</v>
      </c>
      <c r="T65" s="12">
        <v>0</v>
      </c>
      <c r="U65" s="12">
        <v>0</v>
      </c>
      <c r="V65" s="12">
        <v>-38855</v>
      </c>
      <c r="W65" s="12">
        <v>0</v>
      </c>
      <c r="X65" s="12">
        <v>0</v>
      </c>
      <c r="Y65" s="12">
        <v>0</v>
      </c>
      <c r="Z65" s="12">
        <v>0</v>
      </c>
      <c r="AA65" s="12">
        <v>302964</v>
      </c>
      <c r="AB65" s="12">
        <v>0</v>
      </c>
      <c r="AC65" s="12">
        <v>0</v>
      </c>
      <c r="AD65" s="12">
        <v>0</v>
      </c>
      <c r="AE65" s="12">
        <v>0</v>
      </c>
      <c r="AF65" s="12">
        <v>0</v>
      </c>
      <c r="AG65" s="13">
        <f t="shared" si="1"/>
        <v>802080</v>
      </c>
    </row>
    <row r="66" spans="4:33" ht="13.5" thickBot="1">
      <c r="D66" s="17">
        <f aca="true" t="shared" si="2" ref="D66:R66">SUM(D4:D65)</f>
        <v>147564333.70000002</v>
      </c>
      <c r="E66" s="17">
        <f>D66-SUM(F66:AF66)</f>
        <v>-1.2999999821186066</v>
      </c>
      <c r="F66" s="18">
        <f t="shared" si="2"/>
        <v>9589211</v>
      </c>
      <c r="G66" s="18">
        <f t="shared" si="2"/>
        <v>9801701</v>
      </c>
      <c r="H66" s="18">
        <f t="shared" si="2"/>
        <v>9436629</v>
      </c>
      <c r="I66" s="18">
        <f t="shared" si="2"/>
        <v>9649077</v>
      </c>
      <c r="J66" s="18">
        <f t="shared" si="2"/>
        <v>9677212</v>
      </c>
      <c r="K66" s="18">
        <f t="shared" si="2"/>
        <v>9272681</v>
      </c>
      <c r="L66" s="18">
        <f t="shared" si="2"/>
        <v>8737477</v>
      </c>
      <c r="M66" s="18">
        <f t="shared" si="2"/>
        <v>8783887</v>
      </c>
      <c r="N66" s="18">
        <f t="shared" si="2"/>
        <v>4727932</v>
      </c>
      <c r="O66" s="18">
        <f t="shared" si="2"/>
        <v>8902700</v>
      </c>
      <c r="P66" s="18">
        <f t="shared" si="2"/>
        <v>15305877</v>
      </c>
      <c r="Q66" s="18">
        <f t="shared" si="2"/>
        <v>7001004</v>
      </c>
      <c r="R66" s="18">
        <f t="shared" si="2"/>
        <v>1612741</v>
      </c>
      <c r="S66" s="18">
        <f aca="true" t="shared" si="3" ref="S66:Y66">SUM(S4:S65)</f>
        <v>2623334</v>
      </c>
      <c r="T66" s="18">
        <f t="shared" si="3"/>
        <v>2324648</v>
      </c>
      <c r="U66" s="18">
        <f t="shared" si="3"/>
        <v>1688713</v>
      </c>
      <c r="V66" s="18">
        <f t="shared" si="3"/>
        <v>13353265</v>
      </c>
      <c r="W66" s="18">
        <f t="shared" si="3"/>
        <v>2661901</v>
      </c>
      <c r="X66" s="18">
        <f t="shared" si="3"/>
        <v>6773407</v>
      </c>
      <c r="Y66" s="18">
        <f t="shared" si="3"/>
        <v>4414527</v>
      </c>
      <c r="Z66" s="18">
        <f aca="true" t="shared" si="4" ref="Z66:AF66">SUM(Z4:Z65)</f>
        <v>204822</v>
      </c>
      <c r="AA66" s="18">
        <f t="shared" si="4"/>
        <v>489099</v>
      </c>
      <c r="AB66" s="18">
        <f t="shared" si="4"/>
        <v>348414</v>
      </c>
      <c r="AC66" s="18">
        <f t="shared" si="4"/>
        <v>0</v>
      </c>
      <c r="AD66" s="18">
        <f t="shared" si="4"/>
        <v>0</v>
      </c>
      <c r="AE66" s="18">
        <f t="shared" si="4"/>
        <v>167712</v>
      </c>
      <c r="AF66" s="18">
        <f t="shared" si="4"/>
        <v>16364</v>
      </c>
      <c r="AG66" s="13">
        <f>SUM(F66:AF66)</f>
        <v>147564335</v>
      </c>
    </row>
    <row r="67" spans="5:33" ht="13.5" thickTop="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3"/>
    </row>
    <row r="68" ht="11.25">
      <c r="F68" s="19"/>
    </row>
    <row r="70" ht="12.75"/>
    <row r="71" ht="12.75"/>
    <row r="72" ht="12.75"/>
  </sheetData>
  <sheetProtection password="CF43" sheet="1"/>
  <mergeCells count="1">
    <mergeCell ref="A1:E1"/>
  </mergeCells>
  <printOptions gridLines="1" horizontalCentered="1"/>
  <pageMargins left="0" right="0" top="1" bottom="1" header="0.5" footer="0.5"/>
  <pageSetup fitToHeight="0" fitToWidth="1" horizontalDpi="600" verticalDpi="600" orientation="landscape" scale="48" r:id="rId3"/>
  <headerFooter alignWithMargins="0">
    <oddHeader>&amp;CIDEA Part B FY 2009-2010 Funds
Expire 09/30/11</oddHeader>
  </headerFooter>
  <legacyDrawing r:id="rId2"/>
</worksheet>
</file>

<file path=xl/worksheets/sheet2.xml><?xml version="1.0" encoding="utf-8"?>
<worksheet xmlns="http://schemas.openxmlformats.org/spreadsheetml/2006/main" xmlns:r="http://schemas.openxmlformats.org/officeDocument/2006/relationships">
  <dimension ref="A1:C63"/>
  <sheetViews>
    <sheetView zoomScalePageLayoutView="0" workbookViewId="0" topLeftCell="A34">
      <selection activeCell="F60" sqref="F60"/>
    </sheetView>
  </sheetViews>
  <sheetFormatPr defaultColWidth="9.140625" defaultRowHeight="12.75"/>
  <cols>
    <col min="2" max="2" width="17.57421875" style="0" customWidth="1"/>
    <col min="3" max="3" width="42.00390625" style="0" customWidth="1"/>
  </cols>
  <sheetData>
    <row r="1" spans="1:3" ht="15">
      <c r="A1" s="23" t="s">
        <v>145</v>
      </c>
      <c r="B1" s="23" t="s">
        <v>146</v>
      </c>
      <c r="C1" s="23" t="s">
        <v>150</v>
      </c>
    </row>
    <row r="2" spans="1:3" ht="15">
      <c r="A2" s="24" t="s">
        <v>3</v>
      </c>
      <c r="B2" s="25">
        <v>1111980.3</v>
      </c>
      <c r="C2" s="24" t="s">
        <v>4</v>
      </c>
    </row>
    <row r="3" spans="1:3" ht="15">
      <c r="A3" s="24" t="s">
        <v>6</v>
      </c>
      <c r="B3" s="25">
        <v>6863927.1</v>
      </c>
      <c r="C3" s="24" t="s">
        <v>151</v>
      </c>
    </row>
    <row r="4" spans="1:3" ht="15">
      <c r="A4" s="24" t="s">
        <v>8</v>
      </c>
      <c r="B4" s="25">
        <v>1453880.7</v>
      </c>
      <c r="C4" s="24" t="s">
        <v>9</v>
      </c>
    </row>
    <row r="5" spans="1:3" ht="15">
      <c r="A5" s="24" t="s">
        <v>10</v>
      </c>
      <c r="B5" s="25">
        <v>1986931.6</v>
      </c>
      <c r="C5" s="24" t="s">
        <v>11</v>
      </c>
    </row>
    <row r="6" spans="1:3" ht="15">
      <c r="A6" s="24" t="s">
        <v>12</v>
      </c>
      <c r="B6" s="25">
        <v>2066535.1</v>
      </c>
      <c r="C6" s="24" t="s">
        <v>13</v>
      </c>
    </row>
    <row r="7" spans="1:3" ht="15">
      <c r="A7" s="24" t="s">
        <v>14</v>
      </c>
      <c r="B7" s="25">
        <v>827477.8</v>
      </c>
      <c r="C7" s="24" t="s">
        <v>15</v>
      </c>
    </row>
    <row r="8" spans="1:3" ht="15">
      <c r="A8" s="24" t="s">
        <v>17</v>
      </c>
      <c r="B8" s="25">
        <v>381627.4</v>
      </c>
      <c r="C8" s="24" t="s">
        <v>18</v>
      </c>
    </row>
    <row r="9" spans="1:3" ht="15">
      <c r="A9" s="24" t="s">
        <v>19</v>
      </c>
      <c r="B9" s="25">
        <v>8966087.1</v>
      </c>
      <c r="C9" s="24" t="s">
        <v>20</v>
      </c>
    </row>
    <row r="10" spans="1:3" ht="15">
      <c r="A10" s="24" t="s">
        <v>21</v>
      </c>
      <c r="B10" s="25">
        <v>2760172</v>
      </c>
      <c r="C10" s="24" t="s">
        <v>22</v>
      </c>
    </row>
    <row r="11" spans="1:3" ht="15">
      <c r="A11" s="24" t="s">
        <v>23</v>
      </c>
      <c r="B11" s="25">
        <v>7008335.4</v>
      </c>
      <c r="C11" s="24" t="s">
        <v>152</v>
      </c>
    </row>
    <row r="12" spans="1:3" ht="15">
      <c r="A12" s="24" t="s">
        <v>25</v>
      </c>
      <c r="B12" s="25">
        <v>4158940.6</v>
      </c>
      <c r="C12" s="24" t="s">
        <v>153</v>
      </c>
    </row>
    <row r="13" spans="1:3" ht="15">
      <c r="A13" s="24" t="s">
        <v>28</v>
      </c>
      <c r="B13" s="25">
        <v>5450418.3</v>
      </c>
      <c r="C13" s="24" t="s">
        <v>154</v>
      </c>
    </row>
    <row r="14" spans="1:3" ht="15">
      <c r="A14" s="24" t="s">
        <v>30</v>
      </c>
      <c r="B14" s="25">
        <v>996066.4</v>
      </c>
      <c r="C14" s="24" t="s">
        <v>155</v>
      </c>
    </row>
    <row r="15" spans="1:3" ht="15">
      <c r="A15" s="24" t="s">
        <v>33</v>
      </c>
      <c r="B15" s="25">
        <v>15945371.9</v>
      </c>
      <c r="C15" s="24" t="s">
        <v>34</v>
      </c>
    </row>
    <row r="16" spans="1:3" ht="15">
      <c r="A16" s="24" t="s">
        <v>36</v>
      </c>
      <c r="B16" s="25">
        <v>8232608.5</v>
      </c>
      <c r="C16" s="24" t="s">
        <v>156</v>
      </c>
    </row>
    <row r="17" spans="1:3" ht="15">
      <c r="A17" s="24" t="s">
        <v>39</v>
      </c>
      <c r="B17" s="25">
        <v>2230637.2</v>
      </c>
      <c r="C17" s="24" t="s">
        <v>40</v>
      </c>
    </row>
    <row r="18" spans="1:3" ht="15">
      <c r="A18" s="24" t="s">
        <v>42</v>
      </c>
      <c r="B18" s="25">
        <v>1633561.7</v>
      </c>
      <c r="C18" s="24" t="s">
        <v>43</v>
      </c>
    </row>
    <row r="19" spans="1:3" ht="15">
      <c r="A19" s="24" t="s">
        <v>44</v>
      </c>
      <c r="B19" s="25">
        <v>1149276.7</v>
      </c>
      <c r="C19" s="24" t="s">
        <v>45</v>
      </c>
    </row>
    <row r="20" spans="1:3" ht="15">
      <c r="A20" s="24" t="s">
        <v>46</v>
      </c>
      <c r="B20" s="25">
        <v>5943863.2</v>
      </c>
      <c r="C20" s="24" t="s">
        <v>47</v>
      </c>
    </row>
    <row r="21" spans="1:3" ht="15">
      <c r="A21" s="24" t="s">
        <v>48</v>
      </c>
      <c r="B21" s="25">
        <v>700225.4</v>
      </c>
      <c r="C21" s="24" t="s">
        <v>49</v>
      </c>
    </row>
    <row r="22" spans="1:3" ht="15">
      <c r="A22" s="24" t="s">
        <v>50</v>
      </c>
      <c r="B22" s="25">
        <v>3082310.7</v>
      </c>
      <c r="C22" s="24" t="s">
        <v>51</v>
      </c>
    </row>
    <row r="23" spans="1:3" ht="15">
      <c r="A23" s="24" t="s">
        <v>52</v>
      </c>
      <c r="B23" s="25">
        <v>879831.4</v>
      </c>
      <c r="C23" s="24" t="s">
        <v>53</v>
      </c>
    </row>
    <row r="24" spans="1:3" ht="15">
      <c r="A24" s="24" t="s">
        <v>54</v>
      </c>
      <c r="B24" s="25">
        <v>1898631</v>
      </c>
      <c r="C24" s="24" t="s">
        <v>55</v>
      </c>
    </row>
    <row r="25" spans="1:3" ht="15">
      <c r="A25" s="24" t="s">
        <v>56</v>
      </c>
      <c r="B25" s="25">
        <v>857138.4</v>
      </c>
      <c r="C25" s="24" t="s">
        <v>157</v>
      </c>
    </row>
    <row r="26" spans="1:3" ht="15">
      <c r="A26" s="24" t="s">
        <v>59</v>
      </c>
      <c r="B26" s="25">
        <v>764274.3</v>
      </c>
      <c r="C26" s="24" t="s">
        <v>158</v>
      </c>
    </row>
    <row r="27" spans="1:3" ht="15">
      <c r="A27" s="24" t="s">
        <v>62</v>
      </c>
      <c r="B27" s="25">
        <v>299736.5</v>
      </c>
      <c r="C27" s="24" t="s">
        <v>159</v>
      </c>
    </row>
    <row r="28" spans="1:3" ht="15">
      <c r="A28" s="24" t="s">
        <v>65</v>
      </c>
      <c r="B28" s="25">
        <v>15137965.4</v>
      </c>
      <c r="C28" s="24" t="s">
        <v>160</v>
      </c>
    </row>
    <row r="29" spans="1:3" ht="15">
      <c r="A29" s="24" t="s">
        <v>68</v>
      </c>
      <c r="B29" s="25">
        <v>4458116.2</v>
      </c>
      <c r="C29" s="24" t="s">
        <v>161</v>
      </c>
    </row>
    <row r="30" spans="1:3" ht="15">
      <c r="A30" s="24" t="s">
        <v>71</v>
      </c>
      <c r="B30" s="25">
        <v>2929941.5</v>
      </c>
      <c r="C30" s="24" t="s">
        <v>162</v>
      </c>
    </row>
    <row r="31" spans="1:3" ht="15">
      <c r="A31" s="24" t="s">
        <v>73</v>
      </c>
      <c r="B31" s="25">
        <v>248564</v>
      </c>
      <c r="C31" s="24" t="s">
        <v>163</v>
      </c>
    </row>
    <row r="32" spans="1:3" ht="15">
      <c r="A32" s="24" t="s">
        <v>75</v>
      </c>
      <c r="B32" s="25">
        <v>560692.6</v>
      </c>
      <c r="C32" s="24" t="s">
        <v>164</v>
      </c>
    </row>
    <row r="33" spans="1:3" ht="15">
      <c r="A33" s="24" t="s">
        <v>78</v>
      </c>
      <c r="B33" s="25">
        <v>4373802.7</v>
      </c>
      <c r="C33" s="24" t="s">
        <v>79</v>
      </c>
    </row>
    <row r="34" spans="1:3" ht="15">
      <c r="A34" s="24" t="s">
        <v>81</v>
      </c>
      <c r="B34" s="25">
        <v>491303.4</v>
      </c>
      <c r="C34" s="24" t="s">
        <v>165</v>
      </c>
    </row>
    <row r="35" spans="1:3" ht="15">
      <c r="A35" s="24" t="s">
        <v>84</v>
      </c>
      <c r="B35" s="25">
        <v>1227546.8</v>
      </c>
      <c r="C35" s="24" t="s">
        <v>166</v>
      </c>
    </row>
    <row r="36" spans="1:3" ht="15">
      <c r="A36" s="24" t="s">
        <v>87</v>
      </c>
      <c r="B36" s="25">
        <v>675443.3</v>
      </c>
      <c r="C36" s="24" t="s">
        <v>88</v>
      </c>
    </row>
    <row r="37" spans="1:3" ht="15">
      <c r="A37" s="24" t="s">
        <v>90</v>
      </c>
      <c r="B37" s="25">
        <v>3535255.9</v>
      </c>
      <c r="C37" s="24" t="s">
        <v>91</v>
      </c>
    </row>
    <row r="38" spans="1:3" ht="15">
      <c r="A38" s="24" t="s">
        <v>93</v>
      </c>
      <c r="B38" s="25">
        <v>1405051.4</v>
      </c>
      <c r="C38" s="24" t="s">
        <v>94</v>
      </c>
    </row>
    <row r="39" spans="1:3" ht="15">
      <c r="A39" s="24" t="s">
        <v>95</v>
      </c>
      <c r="B39" s="25">
        <v>566440.5</v>
      </c>
      <c r="C39" s="24" t="s">
        <v>167</v>
      </c>
    </row>
    <row r="40" spans="1:3" ht="15">
      <c r="A40" s="24" t="s">
        <v>97</v>
      </c>
      <c r="B40" s="25">
        <v>3518774.8</v>
      </c>
      <c r="C40" s="24" t="s">
        <v>98</v>
      </c>
    </row>
    <row r="41" spans="1:3" ht="15">
      <c r="A41" s="24" t="s">
        <v>99</v>
      </c>
      <c r="B41" s="25">
        <v>1566838.1</v>
      </c>
      <c r="C41" s="24" t="s">
        <v>168</v>
      </c>
    </row>
    <row r="42" spans="1:3" ht="15">
      <c r="A42" s="24" t="s">
        <v>101</v>
      </c>
      <c r="B42" s="25">
        <v>501000.2</v>
      </c>
      <c r="C42" s="24" t="s">
        <v>169</v>
      </c>
    </row>
    <row r="43" spans="1:3" ht="15">
      <c r="A43" s="24" t="s">
        <v>103</v>
      </c>
      <c r="B43" s="25">
        <v>703708</v>
      </c>
      <c r="C43" s="24" t="s">
        <v>170</v>
      </c>
    </row>
    <row r="44" spans="1:3" ht="15">
      <c r="A44" s="24" t="s">
        <v>104</v>
      </c>
      <c r="B44" s="25">
        <v>4505293.1</v>
      </c>
      <c r="C44" s="24" t="s">
        <v>171</v>
      </c>
    </row>
    <row r="45" spans="1:3" ht="15">
      <c r="A45" s="24" t="s">
        <v>106</v>
      </c>
      <c r="B45" s="25">
        <v>940655.7</v>
      </c>
      <c r="C45" s="24" t="s">
        <v>172</v>
      </c>
    </row>
    <row r="46" spans="1:3" ht="15">
      <c r="A46" s="24" t="s">
        <v>108</v>
      </c>
      <c r="B46" s="25">
        <v>971262.9</v>
      </c>
      <c r="C46" s="24" t="s">
        <v>173</v>
      </c>
    </row>
    <row r="47" spans="1:3" ht="15">
      <c r="A47" s="24" t="s">
        <v>110</v>
      </c>
      <c r="B47" s="25">
        <v>684267.5</v>
      </c>
      <c r="C47" s="24" t="s">
        <v>174</v>
      </c>
    </row>
    <row r="48" spans="1:3" ht="15">
      <c r="A48" s="24" t="s">
        <v>112</v>
      </c>
      <c r="B48" s="25">
        <v>1744821.3</v>
      </c>
      <c r="C48" s="24" t="s">
        <v>113</v>
      </c>
    </row>
    <row r="49" spans="1:3" ht="15">
      <c r="A49" s="24" t="s">
        <v>114</v>
      </c>
      <c r="B49" s="25">
        <v>1589474.7</v>
      </c>
      <c r="C49" s="24" t="s">
        <v>115</v>
      </c>
    </row>
    <row r="50" spans="1:3" ht="15">
      <c r="A50" s="24" t="s">
        <v>116</v>
      </c>
      <c r="B50" s="25">
        <v>778639.9</v>
      </c>
      <c r="C50" s="24" t="s">
        <v>117</v>
      </c>
    </row>
    <row r="51" spans="1:3" ht="15">
      <c r="A51" s="24" t="s">
        <v>118</v>
      </c>
      <c r="B51" s="25">
        <v>1378782.2</v>
      </c>
      <c r="C51" s="24" t="s">
        <v>175</v>
      </c>
    </row>
    <row r="52" spans="1:3" ht="15">
      <c r="A52" s="24" t="s">
        <v>120</v>
      </c>
      <c r="B52" s="25">
        <v>839071.9</v>
      </c>
      <c r="C52" s="24" t="s">
        <v>121</v>
      </c>
    </row>
    <row r="53" spans="1:3" ht="15">
      <c r="A53" s="24" t="s">
        <v>122</v>
      </c>
      <c r="B53" s="25">
        <v>326473</v>
      </c>
      <c r="C53" s="24" t="s">
        <v>123</v>
      </c>
    </row>
    <row r="54" spans="1:3" ht="15">
      <c r="A54" s="24" t="s">
        <v>124</v>
      </c>
      <c r="B54" s="25">
        <v>1964264.3</v>
      </c>
      <c r="C54" s="24" t="s">
        <v>125</v>
      </c>
    </row>
    <row r="55" spans="1:3" ht="15">
      <c r="A55" s="24" t="s">
        <v>126</v>
      </c>
      <c r="B55" s="25">
        <v>858688</v>
      </c>
      <c r="C55" s="24" t="s">
        <v>127</v>
      </c>
    </row>
    <row r="56" spans="1:3" ht="15">
      <c r="A56" s="24" t="s">
        <v>128</v>
      </c>
      <c r="B56" s="25">
        <v>229497.8</v>
      </c>
      <c r="C56" s="24" t="s">
        <v>176</v>
      </c>
    </row>
    <row r="57" spans="1:3" ht="15">
      <c r="A57" s="24" t="s">
        <v>133</v>
      </c>
      <c r="B57" s="25">
        <v>144932.7</v>
      </c>
      <c r="C57" s="24" t="s">
        <v>177</v>
      </c>
    </row>
    <row r="58" spans="1:3" ht="15">
      <c r="A58" s="24" t="s">
        <v>134</v>
      </c>
      <c r="B58" s="25">
        <v>15329.7</v>
      </c>
      <c r="C58" s="24" t="s">
        <v>178</v>
      </c>
    </row>
    <row r="59" spans="1:3" ht="15">
      <c r="A59" s="24" t="s">
        <v>135</v>
      </c>
      <c r="B59" s="25">
        <v>50664</v>
      </c>
      <c r="C59" s="24" t="s">
        <v>179</v>
      </c>
    </row>
    <row r="60" spans="1:3" ht="15">
      <c r="A60" s="24" t="s">
        <v>136</v>
      </c>
      <c r="B60" s="25">
        <v>140377.8</v>
      </c>
      <c r="C60" s="24" t="s">
        <v>180</v>
      </c>
    </row>
    <row r="61" spans="1:3" ht="15">
      <c r="A61" s="24" t="s">
        <v>137</v>
      </c>
      <c r="B61" s="25">
        <v>15076</v>
      </c>
      <c r="C61" s="24" t="s">
        <v>181</v>
      </c>
    </row>
    <row r="62" spans="1:3" ht="15">
      <c r="A62" s="24" t="s">
        <v>131</v>
      </c>
      <c r="B62" s="25">
        <v>802079.7</v>
      </c>
      <c r="C62" s="24" t="s">
        <v>132</v>
      </c>
    </row>
    <row r="63" ht="12.75">
      <c r="B63" s="26"/>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moyle_r</dc:creator>
  <cp:keywords/>
  <dc:description/>
  <cp:lastModifiedBy>graham_v</cp:lastModifiedBy>
  <cp:lastPrinted>2011-05-19T00:29:49Z</cp:lastPrinted>
  <dcterms:created xsi:type="dcterms:W3CDTF">2009-07-22T20:15:55Z</dcterms:created>
  <dcterms:modified xsi:type="dcterms:W3CDTF">2011-11-11T19:57:17Z</dcterms:modified>
  <cp:category/>
  <cp:version/>
  <cp:contentType/>
  <cp:contentStatus/>
</cp:coreProperties>
</file>