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payment summary" sheetId="1" r:id="rId1"/>
  </sheets>
  <externalReferences>
    <externalReference r:id="rId4"/>
    <externalReference r:id="rId5"/>
    <externalReference r:id="rId6"/>
  </externalReferences>
  <definedNames>
    <definedName name="_Fill" localSheetId="0" hidden="1">#REF!</definedName>
    <definedName name="_Fill" hidden="1">#REF!</definedName>
    <definedName name="_xlnm.Print_Area" localSheetId="0">'payment summary'!#REF!</definedName>
    <definedName name="_xlnm.Print_Titles" localSheetId="0">'payment summary'!#REF!,'payment summary'!$1:$3</definedName>
  </definedNames>
  <calcPr fullCalcOnLoad="1"/>
</workbook>
</file>

<file path=xl/sharedStrings.xml><?xml version="1.0" encoding="utf-8"?>
<sst xmlns="http://schemas.openxmlformats.org/spreadsheetml/2006/main" count="170" uniqueCount="148">
  <si>
    <t>CHARTER SCHOOL DEBT RESERVE, INTERCEPT AND TREASURY FEE PAYMENTS</t>
  </si>
  <si>
    <t>CRS 22-30.5-406 AND 22-30.5-407</t>
  </si>
  <si>
    <t>Total FY 10</t>
  </si>
  <si>
    <t>Classical (#1627104004A)</t>
  </si>
  <si>
    <t>Debt Reserve</t>
  </si>
  <si>
    <t>Treasury Fee</t>
  </si>
  <si>
    <t>Intercept</t>
  </si>
  <si>
    <t>Total for Classical</t>
  </si>
  <si>
    <t>***</t>
  </si>
  <si>
    <t>Pinnacle (#6950002004A)</t>
  </si>
  <si>
    <t>Total for Pinnacle</t>
  </si>
  <si>
    <t>*</t>
  </si>
  <si>
    <t>Pioneer (#0145155004A)</t>
  </si>
  <si>
    <t>Total for Pioneer</t>
  </si>
  <si>
    <t>Leadership Academy (#5033099004A)</t>
  </si>
  <si>
    <t>Total for Leadership Academy</t>
  </si>
  <si>
    <t>Cesar Chavez Academy Denver (previously DATA) (#2182088004A)</t>
  </si>
  <si>
    <t>Total for Cesar Chavez Academy Denver</t>
  </si>
  <si>
    <t>Liberty Common (#5120155004A)</t>
  </si>
  <si>
    <t>Total for Liberty Common</t>
  </si>
  <si>
    <t>**</t>
  </si>
  <si>
    <t>Cheyenne Mountain (#1582102004A)</t>
  </si>
  <si>
    <t>Total for Cheyenne Mountain</t>
  </si>
  <si>
    <t>Excel Academy (#2799142004A)</t>
  </si>
  <si>
    <t>Total for Excel Academy</t>
  </si>
  <si>
    <t>Challenge to Excellence (#1512090004A)</t>
  </si>
  <si>
    <t>Total for Challenge to Excellence</t>
  </si>
  <si>
    <t>Core Knowledge (#1873090004A)</t>
  </si>
  <si>
    <t>Total for Core Knowledge</t>
  </si>
  <si>
    <t>Montessori Peaks (#5994142004A)</t>
  </si>
  <si>
    <t>Total for Montessori Peaks</t>
  </si>
  <si>
    <t>Peak to Peak (#6816048004A)</t>
  </si>
  <si>
    <t>Total for Peak to Peak</t>
  </si>
  <si>
    <t>Collegiate Academy (#7701142004A)</t>
  </si>
  <si>
    <t>Total for Collegiate Academy</t>
  </si>
  <si>
    <t>Academy of Charter Schools (#0015002004A)</t>
  </si>
  <si>
    <t>Total for Academy of Charter Schools</t>
  </si>
  <si>
    <t>University Lab Charter School (#2850312005A)</t>
  </si>
  <si>
    <t>Total for University Lab Charter School</t>
  </si>
  <si>
    <t>James Irwin Charter High School (#4378098005A)</t>
  </si>
  <si>
    <t>Total for James Irwin Charter High School</t>
  </si>
  <si>
    <t>James Irwin Charter Middle School (#4378098005A)</t>
  </si>
  <si>
    <t>Total for James Irwin Charter Middle School</t>
  </si>
  <si>
    <t>Aurora Academy Charter School (#0458018005A)</t>
  </si>
  <si>
    <t>Total for Aurora Academy Charter School</t>
  </si>
  <si>
    <t>Platte River Academy Charter School (#7047090005A)</t>
  </si>
  <si>
    <t>Total for Platte River Academy Charter School</t>
  </si>
  <si>
    <t>Elbert County Charter School (#2572092005A)</t>
  </si>
  <si>
    <t>Total for Elbert County Charter School</t>
  </si>
  <si>
    <t>Woodrow Wilson Charter School (#9427142005A)</t>
  </si>
  <si>
    <t>Total for Woodrow Wilson Charter School</t>
  </si>
  <si>
    <t>Bromley East Charter School (#1052004005A)</t>
  </si>
  <si>
    <t>Total for Bromley East Charter School</t>
  </si>
  <si>
    <t>Lincoln Academy Charter School (#5145142005A)</t>
  </si>
  <si>
    <t>Total for Lincoln Academy Charter School</t>
  </si>
  <si>
    <t>Excel Academy Charter School (#2799142005A)</t>
  </si>
  <si>
    <t>Total for Excel Academy Charter School</t>
  </si>
  <si>
    <t>Ridgeview Charter School (#0146155005A)</t>
  </si>
  <si>
    <t>Total for Ridgeview Charter School</t>
  </si>
  <si>
    <t>Knowledge Quest Academy (#4785311006A)</t>
  </si>
  <si>
    <t>Total for Knowledge Quest Academy</t>
  </si>
  <si>
    <t>Stargate Charter School (#1519002006A)</t>
  </si>
  <si>
    <t>Total for Stargate Charter School</t>
  </si>
  <si>
    <t>Northern Colorado Academy of Arts (#0657999907A)</t>
  </si>
  <si>
    <t>Total for Northern Colorado Academy of Arts</t>
  </si>
  <si>
    <t>Academy Charter School (#0011090007A)</t>
  </si>
  <si>
    <t>Total for Academy Charter School</t>
  </si>
  <si>
    <t>Cheyenne Mountain Charter School (#1582102007A)</t>
  </si>
  <si>
    <t>Total for Cheyenne Mountain Charter School</t>
  </si>
  <si>
    <t>Frontier Academy (#1875312007A)</t>
  </si>
  <si>
    <t>Total for Frontier Academy</t>
  </si>
  <si>
    <t>Banning Lewis Ranch Academy (#0555111007A)</t>
  </si>
  <si>
    <t>Total for Banning Lewis Ranch Academy</t>
  </si>
  <si>
    <t>Stargate School (#1519002007A)</t>
  </si>
  <si>
    <t>Total for Stargate School</t>
  </si>
  <si>
    <t>Brighton Charter School (#1027004007A)</t>
  </si>
  <si>
    <t>Total for Brighton Charter School</t>
  </si>
  <si>
    <t>Montessori Peaks (#5994142007A)</t>
  </si>
  <si>
    <t>Carbon Valley Academy (#1284047007A)</t>
  </si>
  <si>
    <t>Total for Carbon Valley Academy</t>
  </si>
  <si>
    <t>Littleton Academy Charter School (#5229014007A)</t>
  </si>
  <si>
    <t>Total for Littleton Academy Charter School</t>
  </si>
  <si>
    <t>Union Colony Charter School (#8965312007A)</t>
  </si>
  <si>
    <t>Total for Union Colony Charter School</t>
  </si>
  <si>
    <t>Cesar Chavez Academy (#1488269007A)</t>
  </si>
  <si>
    <t>Total for Cesar Chavez Academy</t>
  </si>
  <si>
    <t>Belle Creek Charter School (#0700004008A)</t>
  </si>
  <si>
    <t>Total for Belle Creek Charter School</t>
  </si>
  <si>
    <t>32A</t>
  </si>
  <si>
    <t>James Irwin Charter High School (#4378098008A)</t>
  </si>
  <si>
    <t>32B</t>
  </si>
  <si>
    <t>James Irwin Charter Middle School (#4379098008A)</t>
  </si>
  <si>
    <t>32C</t>
  </si>
  <si>
    <t>James Irwin Charter Elementary School (#4380098008A)</t>
  </si>
  <si>
    <t>Total for James Irwin Charter Elementary School</t>
  </si>
  <si>
    <t>Northeast Academy Charter School (#6394088008A)</t>
  </si>
  <si>
    <t>Total for Northeast Academy Charter School</t>
  </si>
  <si>
    <t>Windsor Charter Academy (#9665310008A)</t>
  </si>
  <si>
    <t>Total for Windsor Charter Academy</t>
  </si>
  <si>
    <t>James Madison Charter Academy (#5033099008A)</t>
  </si>
  <si>
    <t>Total for James Madison Charter Academy</t>
  </si>
  <si>
    <t>Challenge to Excellence Charter School (#1512090008A)</t>
  </si>
  <si>
    <t>Total for Challenge to Excellence Charter School</t>
  </si>
  <si>
    <t>21st Century Charter School at Colorado Springs (#8926999908A)</t>
  </si>
  <si>
    <t>Total for 21st Century Charter School at Colorado Springs</t>
  </si>
  <si>
    <t>Monument Academy (#5093108008A)</t>
  </si>
  <si>
    <t>Total for Monument Academy</t>
  </si>
  <si>
    <t>Challenges, Choices and Images (#1606088008A)</t>
  </si>
  <si>
    <t>Total for Challenges, Choices and Images</t>
  </si>
  <si>
    <t>Cheyenne Mountain Charter Academy (#1582102008A)</t>
  </si>
  <si>
    <t>Total for Cheyenne Mountain Charter Academy</t>
  </si>
  <si>
    <t>Community Leadership Academy (#1882003008A)</t>
  </si>
  <si>
    <t>Total for Community Leadership Academy</t>
  </si>
  <si>
    <t>New Vision Charter School (#6220156008A)</t>
  </si>
  <si>
    <t>Total for New Vision Charter School</t>
  </si>
  <si>
    <t>Rocky Mountain Academy of Evergreen (#7462142009A)</t>
  </si>
  <si>
    <t>Total for Rocky Mountain Academy of Evergreen</t>
  </si>
  <si>
    <t>Pikes Peak School of Expeditionary Learning (#6935111009A)</t>
  </si>
  <si>
    <t>Total for Pikes Peak of Expeditionary Learning</t>
  </si>
  <si>
    <t>Flagstaff Academy Charter School (#2964047009A)</t>
  </si>
  <si>
    <t>Total for Flagstaff Academy Charter School</t>
  </si>
  <si>
    <t>Academy of Charter Schools (#0015002009A)</t>
  </si>
  <si>
    <t>American Academy (#0215090009A)</t>
  </si>
  <si>
    <t>Total for American Academy</t>
  </si>
  <si>
    <t>North Star Academy (#1579090009A)</t>
  </si>
  <si>
    <t>Total for North Star Academy</t>
  </si>
  <si>
    <t>Twin Peaks Charter Academy (#8927047009A)</t>
  </si>
  <si>
    <t>Total for Twin Peaks Charter Academy</t>
  </si>
  <si>
    <t>The Classical Academy (#1627104009A)</t>
  </si>
  <si>
    <t>Total for The Classical Academy</t>
  </si>
  <si>
    <t>Monument Academy (#5093108009A)</t>
  </si>
  <si>
    <t>Crown Pointe Academy (#2035007010A)</t>
  </si>
  <si>
    <t>Total for Crown Pointe Academy</t>
  </si>
  <si>
    <t>Pinnacle Charter School (#6914999910A)</t>
  </si>
  <si>
    <t>Total for Pinnacle Charter School</t>
  </si>
  <si>
    <t>High Point Academy (#0655999910A)</t>
  </si>
  <si>
    <t>Total for High Point Academy</t>
  </si>
  <si>
    <t>Colorado Springs Charter Academy (#1791999910A)</t>
  </si>
  <si>
    <t>Total for Colorado Springs Charter Academy</t>
  </si>
  <si>
    <t>Summary</t>
  </si>
  <si>
    <t>Debt Reserve  (804 WBA)</t>
  </si>
  <si>
    <t>Treasury Fee  (17F WBA)</t>
  </si>
  <si>
    <t>Intercept  (941 WBA)</t>
  </si>
  <si>
    <r>
      <t>Total for all payments</t>
    </r>
    <r>
      <rPr>
        <sz val="10"/>
        <rFont val="Arial"/>
        <family val="2"/>
      </rPr>
      <t xml:space="preserve">  (113 DAA)</t>
    </r>
  </si>
  <si>
    <t>SD revoked charter / Charter closed</t>
  </si>
  <si>
    <t xml:space="preserve"> </t>
  </si>
  <si>
    <t>Advance refunded</t>
  </si>
  <si>
    <t>Colorado State Charter School Institute School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</si>
</sst>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vertAlign val="superscript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44" fontId="19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4" fontId="18" fillId="0" borderId="0" xfId="0" applyNumberFormat="1" applyFont="1" applyFill="1" applyBorder="1" applyAlignment="1">
      <alignment wrapText="1"/>
    </xf>
    <xf numFmtId="164" fontId="20" fillId="0" borderId="0" xfId="0" applyNumberFormat="1" applyFont="1" applyFill="1" applyBorder="1" applyAlignment="1">
      <alignment/>
    </xf>
    <xf numFmtId="164" fontId="20" fillId="33" borderId="0" xfId="0" applyNumberFormat="1" applyFont="1" applyFill="1" applyBorder="1" applyAlignment="1">
      <alignment/>
    </xf>
    <xf numFmtId="44" fontId="20" fillId="0" borderId="0" xfId="0" applyNumberFormat="1" applyFont="1" applyFill="1" applyBorder="1" applyAlignment="1" quotePrefix="1">
      <alignment horizontal="right" wrapText="1"/>
    </xf>
    <xf numFmtId="43" fontId="0" fillId="0" borderId="0" xfId="0" applyNumberFormat="1" applyFill="1" applyBorder="1" applyAlignment="1">
      <alignment/>
    </xf>
    <xf numFmtId="43" fontId="20" fillId="0" borderId="0" xfId="0" applyNumberFormat="1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33" borderId="0" xfId="0" applyNumberFormat="1" applyFill="1" applyBorder="1" applyAlignment="1">
      <alignment/>
    </xf>
    <xf numFmtId="43" fontId="0" fillId="0" borderId="0" xfId="45" applyFont="1" applyAlignment="1">
      <alignment/>
    </xf>
    <xf numFmtId="43" fontId="0" fillId="0" borderId="0" xfId="45" applyFont="1" applyFill="1" applyAlignment="1">
      <alignment/>
    </xf>
    <xf numFmtId="43" fontId="0" fillId="0" borderId="0" xfId="45" applyFont="1" applyFill="1" applyAlignment="1">
      <alignment/>
    </xf>
    <xf numFmtId="43" fontId="0" fillId="33" borderId="0" xfId="45" applyFont="1" applyFill="1" applyAlignment="1">
      <alignment/>
    </xf>
    <xf numFmtId="43" fontId="18" fillId="0" borderId="10" xfId="0" applyNumberFormat="1" applyFont="1" applyFill="1" applyBorder="1" applyAlignment="1">
      <alignment horizontal="center"/>
    </xf>
    <xf numFmtId="39" fontId="18" fillId="0" borderId="11" xfId="0" applyNumberFormat="1" applyFont="1" applyFill="1" applyBorder="1" applyAlignment="1">
      <alignment/>
    </xf>
    <xf numFmtId="39" fontId="18" fillId="33" borderId="11" xfId="0" applyNumberFormat="1" applyFont="1" applyFill="1" applyBorder="1" applyAlignment="1">
      <alignment/>
    </xf>
    <xf numFmtId="39" fontId="18" fillId="0" borderId="12" xfId="0" applyNumberFormat="1" applyFont="1" applyFill="1" applyBorder="1" applyAlignment="1">
      <alignment/>
    </xf>
    <xf numFmtId="0" fontId="21" fillId="34" borderId="0" xfId="0" applyFont="1" applyFill="1" applyAlignment="1">
      <alignment horizontal="right"/>
    </xf>
    <xf numFmtId="43" fontId="20" fillId="34" borderId="0" xfId="0" applyNumberFormat="1" applyFont="1" applyFill="1" applyBorder="1" applyAlignment="1">
      <alignment/>
    </xf>
    <xf numFmtId="0" fontId="21" fillId="35" borderId="0" xfId="0" applyFont="1" applyFill="1" applyAlignment="1">
      <alignment horizontal="right"/>
    </xf>
    <xf numFmtId="43" fontId="20" fillId="35" borderId="0" xfId="0" applyNumberFormat="1" applyFont="1" applyFill="1" applyBorder="1" applyAlignment="1">
      <alignment/>
    </xf>
    <xf numFmtId="39" fontId="0" fillId="36" borderId="0" xfId="0" applyNumberFormat="1" applyFill="1" applyBorder="1" applyAlignment="1">
      <alignment/>
    </xf>
    <xf numFmtId="0" fontId="21" fillId="37" borderId="0" xfId="0" applyFont="1" applyFill="1" applyAlignment="1">
      <alignment horizontal="right"/>
    </xf>
    <xf numFmtId="43" fontId="20" fillId="37" borderId="0" xfId="0" applyNumberFormat="1" applyFont="1" applyFill="1" applyBorder="1" applyAlignment="1">
      <alignment/>
    </xf>
    <xf numFmtId="43" fontId="20" fillId="37" borderId="0" xfId="0" applyNumberFormat="1" applyFont="1" applyFill="1" applyBorder="1" applyAlignment="1" quotePrefix="1">
      <alignment horizontal="left"/>
    </xf>
    <xf numFmtId="43" fontId="18" fillId="0" borderId="0" xfId="0" applyNumberFormat="1" applyFont="1" applyFill="1" applyBorder="1" applyAlignment="1">
      <alignment horizontal="center"/>
    </xf>
    <xf numFmtId="39" fontId="18" fillId="0" borderId="0" xfId="0" applyNumberFormat="1" applyFont="1" applyFill="1" applyBorder="1" applyAlignment="1">
      <alignment/>
    </xf>
    <xf numFmtId="39" fontId="18" fillId="33" borderId="0" xfId="0" applyNumberFormat="1" applyFont="1" applyFill="1" applyBorder="1" applyAlignment="1">
      <alignment/>
    </xf>
    <xf numFmtId="43" fontId="20" fillId="0" borderId="0" xfId="0" applyNumberFormat="1" applyFont="1" applyFill="1" applyBorder="1" applyAlignment="1" quotePrefix="1">
      <alignment horizontal="left"/>
    </xf>
    <xf numFmtId="43" fontId="18" fillId="0" borderId="10" xfId="0" applyNumberFormat="1" applyFont="1" applyFill="1" applyBorder="1" applyAlignment="1" quotePrefix="1">
      <alignment horizontal="center"/>
    </xf>
    <xf numFmtId="43" fontId="18" fillId="0" borderId="0" xfId="0" applyNumberFormat="1" applyFont="1" applyFill="1" applyBorder="1" applyAlignment="1" quotePrefix="1">
      <alignment horizontal="center"/>
    </xf>
    <xf numFmtId="0" fontId="18" fillId="0" borderId="0" xfId="0" applyFont="1" applyAlignment="1" quotePrefix="1">
      <alignment horizontal="center"/>
    </xf>
    <xf numFmtId="43" fontId="20" fillId="34" borderId="0" xfId="0" applyNumberFormat="1" applyFont="1" applyFill="1" applyBorder="1" applyAlignment="1" quotePrefix="1">
      <alignment horizontal="left"/>
    </xf>
    <xf numFmtId="0" fontId="21" fillId="0" borderId="0" xfId="0" applyFont="1" applyFill="1" applyAlignment="1">
      <alignment horizontal="right"/>
    </xf>
    <xf numFmtId="43" fontId="20" fillId="35" borderId="0" xfId="0" applyNumberFormat="1" applyFont="1" applyFill="1" applyBorder="1" applyAlignment="1" quotePrefix="1">
      <alignment horizontal="left"/>
    </xf>
    <xf numFmtId="0" fontId="18" fillId="0" borderId="0" xfId="0" applyFont="1" applyFill="1" applyAlignment="1">
      <alignment horizontal="center"/>
    </xf>
    <xf numFmtId="0" fontId="21" fillId="34" borderId="0" xfId="0" applyFont="1" applyFill="1" applyAlignment="1">
      <alignment horizontal="right" vertical="center"/>
    </xf>
    <xf numFmtId="39" fontId="20" fillId="0" borderId="0" xfId="0" applyNumberFormat="1" applyFont="1" applyFill="1" applyBorder="1" applyAlignment="1">
      <alignment/>
    </xf>
    <xf numFmtId="39" fontId="20" fillId="33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>
      <alignment/>
    </xf>
    <xf numFmtId="43" fontId="18" fillId="35" borderId="0" xfId="0" applyNumberFormat="1" applyFont="1" applyFill="1" applyBorder="1" applyAlignment="1" quotePrefix="1">
      <alignment horizontal="left"/>
    </xf>
    <xf numFmtId="0" fontId="0" fillId="0" borderId="0" xfId="0" applyFont="1" applyFill="1" applyAlignment="1">
      <alignment/>
    </xf>
    <xf numFmtId="43" fontId="18" fillId="37" borderId="0" xfId="0" applyNumberFormat="1" applyFont="1" applyFill="1" applyBorder="1" applyAlignment="1">
      <alignment/>
    </xf>
    <xf numFmtId="0" fontId="18" fillId="34" borderId="0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LC\PSFA10\chtrschNo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LC\PSFA10\CHARTER%20SCHOOLS%20DEB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LC\PSFA10\Charter%20School%20Intercept%20FY%20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ment summa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reement numbers"/>
      <sheetName val="agreement numbers-institute"/>
      <sheetName val="school summary"/>
      <sheetName val="contacts"/>
      <sheetName val="bond issuances"/>
      <sheetName val="DebtRes"/>
      <sheetName val="payment summary"/>
      <sheetName val="info for cashiers"/>
      <sheetName val="MoralO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yment summary"/>
      <sheetName val="Monthl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6"/>
  <sheetViews>
    <sheetView tabSelected="1" zoomScale="85" zoomScaleNormal="85" zoomScalePageLayoutView="0" workbookViewId="0" topLeftCell="A1">
      <pane xSplit="2" ySplit="2" topLeftCell="G17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386" sqref="O386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78.421875" style="0" customWidth="1"/>
    <col min="4" max="7" width="16.00390625" style="0" bestFit="1" customWidth="1"/>
    <col min="8" max="10" width="16.00390625" style="3" bestFit="1" customWidth="1"/>
    <col min="11" max="11" width="17.8515625" style="3" bestFit="1" customWidth="1"/>
    <col min="12" max="12" width="16.00390625" style="3" bestFit="1" customWidth="1"/>
    <col min="13" max="13" width="16.00390625" style="0" bestFit="1" customWidth="1"/>
    <col min="14" max="14" width="16.00390625" style="3" bestFit="1" customWidth="1"/>
    <col min="15" max="15" width="16.28125" style="0" bestFit="1" customWidth="1"/>
    <col min="16" max="16" width="17.421875" style="0" bestFit="1" customWidth="1"/>
    <col min="17" max="17" width="16.00390625" style="0" bestFit="1" customWidth="1"/>
  </cols>
  <sheetData>
    <row r="1" spans="3:15" ht="96" customHeight="1">
      <c r="C1" s="2" t="s">
        <v>0</v>
      </c>
      <c r="M1" s="3"/>
      <c r="O1" s="4"/>
    </row>
    <row r="2" spans="3:16" ht="25.5" customHeight="1">
      <c r="C2" s="5" t="s">
        <v>1</v>
      </c>
      <c r="D2" s="6">
        <v>39995</v>
      </c>
      <c r="E2" s="6">
        <v>40026</v>
      </c>
      <c r="F2" s="6">
        <v>40057</v>
      </c>
      <c r="G2" s="6">
        <v>40087</v>
      </c>
      <c r="H2" s="6">
        <v>40118</v>
      </c>
      <c r="I2" s="6">
        <v>40148</v>
      </c>
      <c r="J2" s="6">
        <v>40179</v>
      </c>
      <c r="K2" s="6">
        <v>40210</v>
      </c>
      <c r="L2" s="6">
        <v>40238</v>
      </c>
      <c r="M2" s="6">
        <v>40269</v>
      </c>
      <c r="N2" s="6">
        <v>40299</v>
      </c>
      <c r="O2" s="7">
        <v>40330</v>
      </c>
      <c r="P2" s="8" t="s">
        <v>2</v>
      </c>
    </row>
    <row r="3" spans="3:15" ht="12.75">
      <c r="C3" s="9"/>
      <c r="M3" s="3"/>
      <c r="O3" s="4"/>
    </row>
    <row r="4" spans="1:15" ht="15.75">
      <c r="A4" s="1">
        <v>1</v>
      </c>
      <c r="C4" s="10" t="s">
        <v>3</v>
      </c>
      <c r="M4" s="3"/>
      <c r="O4" s="4"/>
    </row>
    <row r="5" spans="3:16" ht="12.75">
      <c r="C5" s="9" t="s">
        <v>4</v>
      </c>
      <c r="D5" s="11">
        <v>3123.75</v>
      </c>
      <c r="E5" s="11">
        <v>3123.75</v>
      </c>
      <c r="F5" s="11">
        <v>3123.75</v>
      </c>
      <c r="G5" s="11">
        <v>3055</v>
      </c>
      <c r="H5" s="11">
        <v>3055</v>
      </c>
      <c r="I5" s="11">
        <v>3055</v>
      </c>
      <c r="J5" s="11">
        <v>3055</v>
      </c>
      <c r="K5" s="11">
        <v>3055</v>
      </c>
      <c r="L5" s="11">
        <v>3055</v>
      </c>
      <c r="M5" s="11">
        <v>3055</v>
      </c>
      <c r="N5" s="11">
        <v>3055</v>
      </c>
      <c r="O5" s="12">
        <v>3055</v>
      </c>
      <c r="P5" s="11">
        <f>SUM(D5:O5)</f>
        <v>36866.25</v>
      </c>
    </row>
    <row r="6" spans="3:16" ht="12.75">
      <c r="C6" s="9" t="s">
        <v>5</v>
      </c>
      <c r="D6" s="13">
        <v>250</v>
      </c>
      <c r="E6" s="13"/>
      <c r="F6" s="13"/>
      <c r="G6" s="13"/>
      <c r="H6" s="14"/>
      <c r="I6" s="14"/>
      <c r="J6" s="14"/>
      <c r="K6" s="14"/>
      <c r="L6" s="14"/>
      <c r="M6" s="15"/>
      <c r="N6" s="15"/>
      <c r="O6" s="16"/>
      <c r="P6" s="11">
        <f>SUM(D6:O6)</f>
        <v>250</v>
      </c>
    </row>
    <row r="7" spans="3:16" ht="13.5" thickBot="1">
      <c r="C7" s="9" t="s">
        <v>6</v>
      </c>
      <c r="D7" s="11">
        <f>70416.67+144420.31</f>
        <v>214836.97999999998</v>
      </c>
      <c r="E7" s="11">
        <f>70416.67+144420.31</f>
        <v>214836.97999999998</v>
      </c>
      <c r="F7" s="11">
        <f>70416.67+144420.31</f>
        <v>214836.97999999998</v>
      </c>
      <c r="G7" s="11">
        <f>70416.67+144420.31</f>
        <v>214836.97999999998</v>
      </c>
      <c r="H7" s="11">
        <f>70416.67+144420.31</f>
        <v>214836.97999999998</v>
      </c>
      <c r="I7" s="11">
        <f aca="true" t="shared" si="0" ref="I7:O7">72916.67+142219.79</f>
        <v>215136.46000000002</v>
      </c>
      <c r="J7" s="11">
        <f t="shared" si="0"/>
        <v>215136.46000000002</v>
      </c>
      <c r="K7" s="11">
        <f t="shared" si="0"/>
        <v>215136.46000000002</v>
      </c>
      <c r="L7" s="11">
        <f t="shared" si="0"/>
        <v>215136.46000000002</v>
      </c>
      <c r="M7" s="11">
        <f t="shared" si="0"/>
        <v>215136.46000000002</v>
      </c>
      <c r="N7" s="11">
        <f t="shared" si="0"/>
        <v>215136.46000000002</v>
      </c>
      <c r="O7" s="12">
        <f t="shared" si="0"/>
        <v>215136.46000000002</v>
      </c>
      <c r="P7" s="11">
        <f>SUM(D7:O7)</f>
        <v>2580140.1199999996</v>
      </c>
    </row>
    <row r="8" spans="3:16" ht="13.5" thickBot="1">
      <c r="C8" s="17" t="s">
        <v>7</v>
      </c>
      <c r="D8" s="18">
        <f aca="true" t="shared" si="1" ref="D8:P8">SUM(D5:D7)</f>
        <v>218210.72999999998</v>
      </c>
      <c r="E8" s="18">
        <f t="shared" si="1"/>
        <v>217960.72999999998</v>
      </c>
      <c r="F8" s="18">
        <f t="shared" si="1"/>
        <v>217960.72999999998</v>
      </c>
      <c r="G8" s="18">
        <f t="shared" si="1"/>
        <v>217891.97999999998</v>
      </c>
      <c r="H8" s="18">
        <f t="shared" si="1"/>
        <v>217891.97999999998</v>
      </c>
      <c r="I8" s="18">
        <f t="shared" si="1"/>
        <v>218191.46000000002</v>
      </c>
      <c r="J8" s="18">
        <f t="shared" si="1"/>
        <v>218191.46000000002</v>
      </c>
      <c r="K8" s="18">
        <f t="shared" si="1"/>
        <v>218191.46000000002</v>
      </c>
      <c r="L8" s="18">
        <f t="shared" si="1"/>
        <v>218191.46000000002</v>
      </c>
      <c r="M8" s="18">
        <f t="shared" si="1"/>
        <v>218191.46000000002</v>
      </c>
      <c r="N8" s="18">
        <f t="shared" si="1"/>
        <v>218191.46000000002</v>
      </c>
      <c r="O8" s="19">
        <f t="shared" si="1"/>
        <v>218191.46000000002</v>
      </c>
      <c r="P8" s="20">
        <f t="shared" si="1"/>
        <v>2617256.3699999996</v>
      </c>
    </row>
    <row r="9" spans="3:15" ht="12.75">
      <c r="C9" s="9"/>
      <c r="M9" s="3"/>
      <c r="O9" s="4"/>
    </row>
    <row r="10" spans="1:15" ht="21">
      <c r="A10" s="1">
        <f>A4+1</f>
        <v>2</v>
      </c>
      <c r="B10" s="21" t="s">
        <v>8</v>
      </c>
      <c r="C10" s="22" t="s">
        <v>9</v>
      </c>
      <c r="M10" s="3"/>
      <c r="O10" s="4"/>
    </row>
    <row r="11" spans="3:16" ht="12.75">
      <c r="C11" s="9" t="str">
        <f>C5</f>
        <v>Debt Reserve</v>
      </c>
      <c r="D11" s="11">
        <v>1744.17</v>
      </c>
      <c r="E11" s="11">
        <v>1744.17</v>
      </c>
      <c r="F11" s="11">
        <v>1744.17</v>
      </c>
      <c r="G11" s="11">
        <v>1703.75</v>
      </c>
      <c r="H11" s="11">
        <v>1703.75</v>
      </c>
      <c r="I11" s="11">
        <v>1703.75</v>
      </c>
      <c r="J11" s="11">
        <v>1703.75</v>
      </c>
      <c r="K11" s="11">
        <v>1703.75</v>
      </c>
      <c r="L11" s="11">
        <v>1703.75</v>
      </c>
      <c r="M11" s="11">
        <v>1703.75</v>
      </c>
      <c r="N11" s="11">
        <v>1703.75</v>
      </c>
      <c r="O11" s="12">
        <v>1703.75</v>
      </c>
      <c r="P11" s="11">
        <f>SUM(D11:O11)</f>
        <v>20566.260000000002</v>
      </c>
    </row>
    <row r="12" spans="3:16" ht="12.75">
      <c r="C12" s="9" t="str">
        <f>C6</f>
        <v>Treasury Fee</v>
      </c>
      <c r="D12" s="13">
        <v>250</v>
      </c>
      <c r="E12" s="13"/>
      <c r="F12" s="13"/>
      <c r="G12" s="13"/>
      <c r="H12" s="14"/>
      <c r="I12" s="14"/>
      <c r="J12" s="14"/>
      <c r="K12" s="14"/>
      <c r="L12" s="14"/>
      <c r="M12" s="15"/>
      <c r="N12" s="15"/>
      <c r="O12" s="16"/>
      <c r="P12" s="11">
        <f>SUM(D12:O12)</f>
        <v>250</v>
      </c>
    </row>
    <row r="13" spans="3:16" ht="13.5" thickBot="1">
      <c r="C13" s="9" t="str">
        <f>C7</f>
        <v>Intercept</v>
      </c>
      <c r="D13" s="11">
        <f aca="true" t="shared" si="2" ref="D13:N13">41250+81302.81</f>
        <v>122552.81</v>
      </c>
      <c r="E13" s="11">
        <f t="shared" si="2"/>
        <v>122552.81</v>
      </c>
      <c r="F13" s="11">
        <f t="shared" si="2"/>
        <v>122552.81</v>
      </c>
      <c r="G13" s="11">
        <f t="shared" si="2"/>
        <v>122552.81</v>
      </c>
      <c r="H13" s="11">
        <f t="shared" si="2"/>
        <v>122552.81</v>
      </c>
      <c r="I13" s="11">
        <f t="shared" si="2"/>
        <v>122552.81</v>
      </c>
      <c r="J13" s="11">
        <f t="shared" si="2"/>
        <v>122552.81</v>
      </c>
      <c r="K13" s="11">
        <f t="shared" si="2"/>
        <v>122552.81</v>
      </c>
      <c r="L13" s="11">
        <f t="shared" si="2"/>
        <v>122552.81</v>
      </c>
      <c r="M13" s="11">
        <f t="shared" si="2"/>
        <v>122552.81</v>
      </c>
      <c r="N13" s="11">
        <f t="shared" si="2"/>
        <v>122552.81</v>
      </c>
      <c r="O13" s="12">
        <f>42916.67+79910.63</f>
        <v>122827.3</v>
      </c>
      <c r="P13" s="11">
        <f>SUM(D13:O13)</f>
        <v>1470908.2100000004</v>
      </c>
    </row>
    <row r="14" spans="3:16" ht="13.5" thickBot="1">
      <c r="C14" s="17" t="s">
        <v>10</v>
      </c>
      <c r="D14" s="18">
        <f aca="true" t="shared" si="3" ref="D14:P14">SUM(D11:D13)</f>
        <v>124546.98</v>
      </c>
      <c r="E14" s="18">
        <f t="shared" si="3"/>
        <v>124296.98</v>
      </c>
      <c r="F14" s="18">
        <f t="shared" si="3"/>
        <v>124296.98</v>
      </c>
      <c r="G14" s="18">
        <f t="shared" si="3"/>
        <v>124256.56</v>
      </c>
      <c r="H14" s="18">
        <f t="shared" si="3"/>
        <v>124256.56</v>
      </c>
      <c r="I14" s="18">
        <f t="shared" si="3"/>
        <v>124256.56</v>
      </c>
      <c r="J14" s="18">
        <f t="shared" si="3"/>
        <v>124256.56</v>
      </c>
      <c r="K14" s="18">
        <f t="shared" si="3"/>
        <v>124256.56</v>
      </c>
      <c r="L14" s="18">
        <f t="shared" si="3"/>
        <v>124256.56</v>
      </c>
      <c r="M14" s="18">
        <f t="shared" si="3"/>
        <v>124256.56</v>
      </c>
      <c r="N14" s="18">
        <f t="shared" si="3"/>
        <v>124256.56</v>
      </c>
      <c r="O14" s="19">
        <f t="shared" si="3"/>
        <v>124531.05</v>
      </c>
      <c r="P14" s="20">
        <f t="shared" si="3"/>
        <v>1491724.4700000004</v>
      </c>
    </row>
    <row r="15" spans="3:15" ht="12.75">
      <c r="C15" s="9"/>
      <c r="M15" s="3"/>
      <c r="O15" s="4"/>
    </row>
    <row r="16" spans="2:15" ht="21">
      <c r="B16" s="23" t="s">
        <v>11</v>
      </c>
      <c r="C16" s="24" t="s">
        <v>12</v>
      </c>
      <c r="M16" s="3"/>
      <c r="O16" s="4"/>
    </row>
    <row r="17" spans="3:15" ht="12.75">
      <c r="C17" s="9" t="str">
        <f>C11</f>
        <v>Debt Reserve</v>
      </c>
      <c r="M17" s="3"/>
      <c r="O17" s="4"/>
    </row>
    <row r="18" spans="3:15" ht="12.75">
      <c r="C18" s="9" t="str">
        <f>C12</f>
        <v>Treasury Fee</v>
      </c>
      <c r="M18" s="3"/>
      <c r="O18" s="4"/>
    </row>
    <row r="19" spans="3:15" ht="13.5" thickBot="1">
      <c r="C19" s="9" t="str">
        <f>C13</f>
        <v>Intercept</v>
      </c>
      <c r="M19" s="3"/>
      <c r="O19" s="4"/>
    </row>
    <row r="20" spans="3:15" ht="13.5" thickBot="1">
      <c r="C20" s="17" t="s">
        <v>13</v>
      </c>
      <c r="M20" s="3"/>
      <c r="O20" s="4"/>
    </row>
    <row r="21" spans="3:15" ht="12.75">
      <c r="C21" s="9"/>
      <c r="M21" s="3"/>
      <c r="O21" s="4"/>
    </row>
    <row r="22" spans="2:15" ht="21">
      <c r="B22" s="23" t="s">
        <v>11</v>
      </c>
      <c r="C22" s="24" t="s">
        <v>14</v>
      </c>
      <c r="M22" s="3"/>
      <c r="O22" s="4"/>
    </row>
    <row r="23" spans="3:15" ht="12.75">
      <c r="C23" s="9" t="str">
        <f>C17</f>
        <v>Debt Reserve</v>
      </c>
      <c r="M23" s="3"/>
      <c r="O23" s="4"/>
    </row>
    <row r="24" spans="3:15" ht="12.75">
      <c r="C24" s="9" t="str">
        <f>C18</f>
        <v>Treasury Fee</v>
      </c>
      <c r="M24" s="3"/>
      <c r="O24" s="4"/>
    </row>
    <row r="25" spans="3:15" ht="13.5" thickBot="1">
      <c r="C25" s="9" t="str">
        <f>C19</f>
        <v>Intercept</v>
      </c>
      <c r="M25" s="3"/>
      <c r="O25" s="4"/>
    </row>
    <row r="26" spans="3:15" ht="13.5" thickBot="1">
      <c r="C26" s="17" t="s">
        <v>15</v>
      </c>
      <c r="M26" s="3"/>
      <c r="O26" s="4"/>
    </row>
    <row r="27" spans="3:15" ht="12.75">
      <c r="C27" s="9"/>
      <c r="M27" s="3"/>
      <c r="O27" s="4"/>
    </row>
    <row r="28" spans="1:15" ht="15.75">
      <c r="A28" s="1">
        <f>+A10+1</f>
        <v>3</v>
      </c>
      <c r="C28" s="10" t="s">
        <v>16</v>
      </c>
      <c r="M28" s="3"/>
      <c r="O28" s="4"/>
    </row>
    <row r="29" spans="3:16" ht="12.75">
      <c r="C29" s="9" t="str">
        <f>C23</f>
        <v>Debt Reserve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1">
        <f>SUM(D29:O29)</f>
        <v>0</v>
      </c>
    </row>
    <row r="30" spans="3:16" ht="12.75">
      <c r="C30" s="9" t="str">
        <f>C24</f>
        <v>Treasury Fee</v>
      </c>
      <c r="D30" s="13">
        <v>250</v>
      </c>
      <c r="E30" s="13"/>
      <c r="F30" s="13"/>
      <c r="G30" s="13"/>
      <c r="H30" s="14"/>
      <c r="I30" s="14"/>
      <c r="J30" s="14"/>
      <c r="K30" s="14"/>
      <c r="L30" s="14"/>
      <c r="M30" s="15"/>
      <c r="N30" s="15"/>
      <c r="O30" s="16"/>
      <c r="P30" s="11">
        <f>SUM(D30:O30)</f>
        <v>250</v>
      </c>
    </row>
    <row r="31" spans="3:16" ht="13.5" thickBot="1">
      <c r="C31" s="9" t="str">
        <f>C25</f>
        <v>Intercept</v>
      </c>
      <c r="D31" s="25">
        <f>8333.33+53625</f>
        <v>61958.33</v>
      </c>
      <c r="E31" s="25">
        <f>8333.33+53625</f>
        <v>61958.33</v>
      </c>
      <c r="F31" s="25">
        <v>0</v>
      </c>
      <c r="G31" s="25">
        <v>0</v>
      </c>
      <c r="H31" s="11">
        <v>4227.49</v>
      </c>
      <c r="I31" s="11">
        <v>25578.83</v>
      </c>
      <c r="J31" s="11">
        <v>25578.83</v>
      </c>
      <c r="K31" s="11">
        <v>25578.83</v>
      </c>
      <c r="L31" s="11">
        <v>25578.83</v>
      </c>
      <c r="M31" s="11">
        <v>25578.83</v>
      </c>
      <c r="N31" s="11">
        <v>25578.83</v>
      </c>
      <c r="O31" s="12">
        <v>25578.83</v>
      </c>
      <c r="P31" s="11">
        <f>SUM(D31:O31)</f>
        <v>307195.9600000001</v>
      </c>
    </row>
    <row r="32" spans="3:16" ht="13.5" thickBot="1">
      <c r="C32" s="17" t="s">
        <v>17</v>
      </c>
      <c r="D32" s="18">
        <f aca="true" t="shared" si="4" ref="D32:P32">SUM(D29:D31)</f>
        <v>62208.33</v>
      </c>
      <c r="E32" s="18">
        <f t="shared" si="4"/>
        <v>61958.33</v>
      </c>
      <c r="F32" s="18">
        <f t="shared" si="4"/>
        <v>0</v>
      </c>
      <c r="G32" s="18">
        <f t="shared" si="4"/>
        <v>0</v>
      </c>
      <c r="H32" s="18">
        <f t="shared" si="4"/>
        <v>4227.49</v>
      </c>
      <c r="I32" s="18">
        <f t="shared" si="4"/>
        <v>25578.83</v>
      </c>
      <c r="J32" s="18">
        <f t="shared" si="4"/>
        <v>25578.83</v>
      </c>
      <c r="K32" s="18">
        <f t="shared" si="4"/>
        <v>25578.83</v>
      </c>
      <c r="L32" s="18">
        <f t="shared" si="4"/>
        <v>25578.83</v>
      </c>
      <c r="M32" s="18">
        <f t="shared" si="4"/>
        <v>25578.83</v>
      </c>
      <c r="N32" s="18">
        <f t="shared" si="4"/>
        <v>25578.83</v>
      </c>
      <c r="O32" s="19">
        <f t="shared" si="4"/>
        <v>25578.83</v>
      </c>
      <c r="P32" s="20">
        <f t="shared" si="4"/>
        <v>307445.9600000001</v>
      </c>
    </row>
    <row r="33" spans="3:15" ht="12.75">
      <c r="C33" s="9"/>
      <c r="M33" s="3"/>
      <c r="O33" s="4"/>
    </row>
    <row r="34" spans="1:15" ht="15.75">
      <c r="A34" s="1">
        <f>A28+1</f>
        <v>4</v>
      </c>
      <c r="C34" s="10" t="s">
        <v>18</v>
      </c>
      <c r="M34" s="3"/>
      <c r="O34" s="4"/>
    </row>
    <row r="35" spans="3:16" ht="12.75">
      <c r="C35" s="9" t="str">
        <f>C29</f>
        <v>Debt Reserve</v>
      </c>
      <c r="D35" s="11">
        <v>541.25</v>
      </c>
      <c r="E35" s="11">
        <v>541.25</v>
      </c>
      <c r="F35" s="11">
        <v>541.25</v>
      </c>
      <c r="G35" s="11">
        <v>541.25</v>
      </c>
      <c r="H35" s="11">
        <v>541.25</v>
      </c>
      <c r="I35" s="11">
        <v>528.75</v>
      </c>
      <c r="J35" s="11">
        <v>528.75</v>
      </c>
      <c r="K35" s="11">
        <v>528.75</v>
      </c>
      <c r="L35" s="11">
        <v>528.75</v>
      </c>
      <c r="M35" s="11">
        <v>528.75</v>
      </c>
      <c r="N35" s="11">
        <v>528.75</v>
      </c>
      <c r="O35" s="12">
        <v>528.75</v>
      </c>
      <c r="P35" s="11">
        <f>SUM(D35:O35)</f>
        <v>6407.5</v>
      </c>
    </row>
    <row r="36" spans="3:16" ht="12.75">
      <c r="C36" s="9" t="str">
        <f>C30</f>
        <v>Treasury Fee</v>
      </c>
      <c r="D36" s="13">
        <v>250</v>
      </c>
      <c r="E36" s="13"/>
      <c r="F36" s="13"/>
      <c r="G36" s="13"/>
      <c r="H36" s="14"/>
      <c r="I36" s="14"/>
      <c r="J36" s="14"/>
      <c r="K36" s="14"/>
      <c r="L36" s="14"/>
      <c r="M36" s="15"/>
      <c r="N36" s="15"/>
      <c r="O36" s="16"/>
      <c r="P36" s="11">
        <f>SUM(D36:O36)</f>
        <v>250</v>
      </c>
    </row>
    <row r="37" spans="3:16" ht="13.5" thickBot="1">
      <c r="C37" s="9" t="str">
        <f>C31</f>
        <v>Intercept</v>
      </c>
      <c r="D37" s="11">
        <f>12500+25550.42</f>
        <v>38050.42</v>
      </c>
      <c r="E37" s="11">
        <f>12500+25550.42</f>
        <v>38050.42</v>
      </c>
      <c r="F37" s="11">
        <f>12500+25550.42</f>
        <v>38050.42</v>
      </c>
      <c r="G37" s="11">
        <f>12500+25550.42</f>
        <v>38050.42</v>
      </c>
      <c r="H37" s="11">
        <f>12500+25550.42</f>
        <v>38050.42</v>
      </c>
      <c r="I37" s="11">
        <f aca="true" t="shared" si="5" ref="I37:O37">12916.67+25175.42</f>
        <v>38092.09</v>
      </c>
      <c r="J37" s="11">
        <f t="shared" si="5"/>
        <v>38092.09</v>
      </c>
      <c r="K37" s="11">
        <f t="shared" si="5"/>
        <v>38092.09</v>
      </c>
      <c r="L37" s="11">
        <f t="shared" si="5"/>
        <v>38092.09</v>
      </c>
      <c r="M37" s="11">
        <f t="shared" si="5"/>
        <v>38092.09</v>
      </c>
      <c r="N37" s="11">
        <f t="shared" si="5"/>
        <v>38092.09</v>
      </c>
      <c r="O37" s="12">
        <f t="shared" si="5"/>
        <v>38092.09</v>
      </c>
      <c r="P37" s="11">
        <f>SUM(D37:O37)</f>
        <v>456896.72999999986</v>
      </c>
    </row>
    <row r="38" spans="3:16" ht="13.5" thickBot="1">
      <c r="C38" s="17" t="s">
        <v>19</v>
      </c>
      <c r="D38" s="18">
        <f aca="true" t="shared" si="6" ref="D38:P38">SUM(D35:D37)</f>
        <v>38841.67</v>
      </c>
      <c r="E38" s="18">
        <f t="shared" si="6"/>
        <v>38591.67</v>
      </c>
      <c r="F38" s="18">
        <f t="shared" si="6"/>
        <v>38591.67</v>
      </c>
      <c r="G38" s="18">
        <f t="shared" si="6"/>
        <v>38591.67</v>
      </c>
      <c r="H38" s="18">
        <f t="shared" si="6"/>
        <v>38591.67</v>
      </c>
      <c r="I38" s="18">
        <f t="shared" si="6"/>
        <v>38620.84</v>
      </c>
      <c r="J38" s="18">
        <f t="shared" si="6"/>
        <v>38620.84</v>
      </c>
      <c r="K38" s="18">
        <f t="shared" si="6"/>
        <v>38620.84</v>
      </c>
      <c r="L38" s="18">
        <f t="shared" si="6"/>
        <v>38620.84</v>
      </c>
      <c r="M38" s="18">
        <f t="shared" si="6"/>
        <v>38620.84</v>
      </c>
      <c r="N38" s="18">
        <f t="shared" si="6"/>
        <v>38620.84</v>
      </c>
      <c r="O38" s="19">
        <f t="shared" si="6"/>
        <v>38620.84</v>
      </c>
      <c r="P38" s="20">
        <f t="shared" si="6"/>
        <v>463554.22999999986</v>
      </c>
    </row>
    <row r="39" spans="3:15" ht="12.75">
      <c r="C39" s="9"/>
      <c r="M39" s="3"/>
      <c r="O39" s="4"/>
    </row>
    <row r="40" spans="2:15" ht="21">
      <c r="B40" s="26" t="s">
        <v>20</v>
      </c>
      <c r="C40" s="27" t="s">
        <v>21</v>
      </c>
      <c r="M40" s="3"/>
      <c r="O40" s="4"/>
    </row>
    <row r="41" spans="3:15" ht="12.75">
      <c r="C41" s="9" t="str">
        <f>C35</f>
        <v>Debt Reserve</v>
      </c>
      <c r="M41" s="3"/>
      <c r="O41" s="4"/>
    </row>
    <row r="42" spans="3:15" ht="12.75">
      <c r="C42" s="9" t="str">
        <f>C36</f>
        <v>Treasury Fee</v>
      </c>
      <c r="M42" s="3"/>
      <c r="O42" s="4"/>
    </row>
    <row r="43" spans="3:15" ht="13.5" thickBot="1">
      <c r="C43" s="9" t="str">
        <f>C37</f>
        <v>Intercept</v>
      </c>
      <c r="M43" s="3"/>
      <c r="O43" s="4"/>
    </row>
    <row r="44" spans="3:15" ht="13.5" thickBot="1">
      <c r="C44" s="17" t="s">
        <v>22</v>
      </c>
      <c r="M44" s="3"/>
      <c r="O44" s="4"/>
    </row>
    <row r="45" spans="3:15" ht="12.75">
      <c r="C45" s="9"/>
      <c r="M45" s="3"/>
      <c r="O45" s="4"/>
    </row>
    <row r="46" spans="2:15" ht="21">
      <c r="B46" s="26" t="s">
        <v>20</v>
      </c>
      <c r="C46" s="28" t="s">
        <v>23</v>
      </c>
      <c r="M46" s="3"/>
      <c r="O46" s="4"/>
    </row>
    <row r="47" spans="3:15" ht="12.75">
      <c r="C47" s="9" t="str">
        <f>C41</f>
        <v>Debt Reserve</v>
      </c>
      <c r="M47" s="3"/>
      <c r="O47" s="4"/>
    </row>
    <row r="48" spans="3:15" ht="12.75">
      <c r="C48" s="9" t="str">
        <f>C42</f>
        <v>Treasury Fee</v>
      </c>
      <c r="M48" s="3"/>
      <c r="O48" s="4"/>
    </row>
    <row r="49" spans="3:15" ht="13.5" thickBot="1">
      <c r="C49" s="9" t="str">
        <f>C43</f>
        <v>Intercept</v>
      </c>
      <c r="M49" s="3"/>
      <c r="O49" s="4"/>
    </row>
    <row r="50" spans="3:15" ht="13.5" thickBot="1">
      <c r="C50" s="17" t="s">
        <v>24</v>
      </c>
      <c r="M50" s="3"/>
      <c r="O50" s="4"/>
    </row>
    <row r="51" spans="3:15" ht="12.75">
      <c r="C51" s="9"/>
      <c r="M51" s="3"/>
      <c r="O51" s="4"/>
    </row>
    <row r="52" spans="2:15" ht="21">
      <c r="B52" s="26" t="s">
        <v>20</v>
      </c>
      <c r="C52" s="27" t="s">
        <v>25</v>
      </c>
      <c r="M52" s="3"/>
      <c r="O52" s="4"/>
    </row>
    <row r="53" spans="3:15" ht="12.75">
      <c r="C53" s="9" t="str">
        <f>C47</f>
        <v>Debt Reserve</v>
      </c>
      <c r="M53" s="3"/>
      <c r="O53" s="4"/>
    </row>
    <row r="54" spans="3:15" ht="12.75">
      <c r="C54" s="9" t="str">
        <f>C48</f>
        <v>Treasury Fee</v>
      </c>
      <c r="M54" s="3"/>
      <c r="O54" s="4"/>
    </row>
    <row r="55" spans="3:15" ht="13.5" thickBot="1">
      <c r="C55" s="9" t="str">
        <f>C49</f>
        <v>Intercept</v>
      </c>
      <c r="M55" s="3"/>
      <c r="O55" s="4"/>
    </row>
    <row r="56" spans="3:15" ht="13.5" thickBot="1">
      <c r="C56" s="17" t="s">
        <v>26</v>
      </c>
      <c r="M56" s="3"/>
      <c r="O56" s="4"/>
    </row>
    <row r="57" spans="3:15" ht="12.75">
      <c r="C57" s="9"/>
      <c r="M57" s="3"/>
      <c r="O57" s="4"/>
    </row>
    <row r="58" spans="1:15" ht="15.75">
      <c r="A58" s="1">
        <f>+A34+1</f>
        <v>5</v>
      </c>
      <c r="C58" s="10" t="s">
        <v>27</v>
      </c>
      <c r="M58" s="3"/>
      <c r="O58" s="4"/>
    </row>
    <row r="59" spans="3:16" ht="12.75">
      <c r="C59" s="9" t="str">
        <f>C53</f>
        <v>Debt Reserve</v>
      </c>
      <c r="D59" s="11">
        <v>367.08</v>
      </c>
      <c r="E59" s="11">
        <v>367.08</v>
      </c>
      <c r="F59" s="11">
        <v>367.08</v>
      </c>
      <c r="G59" s="11">
        <v>367.08</v>
      </c>
      <c r="H59" s="11">
        <v>367.08</v>
      </c>
      <c r="I59" s="11">
        <v>367.08</v>
      </c>
      <c r="J59" s="11">
        <v>367.08</v>
      </c>
      <c r="K59" s="11">
        <v>367.08</v>
      </c>
      <c r="L59" s="11">
        <v>367.08</v>
      </c>
      <c r="M59" s="11">
        <v>359.17</v>
      </c>
      <c r="N59" s="11">
        <v>359.17</v>
      </c>
      <c r="O59" s="12">
        <v>359.17</v>
      </c>
      <c r="P59" s="11">
        <f>SUM(D59:O59)</f>
        <v>4381.23</v>
      </c>
    </row>
    <row r="60" spans="3:16" ht="12.75">
      <c r="C60" s="9" t="str">
        <f>C54</f>
        <v>Treasury Fee</v>
      </c>
      <c r="D60" s="13">
        <v>250</v>
      </c>
      <c r="E60" s="13"/>
      <c r="F60" s="13"/>
      <c r="G60" s="13"/>
      <c r="H60" s="14"/>
      <c r="I60" s="14"/>
      <c r="J60" s="14"/>
      <c r="K60" s="14"/>
      <c r="L60" s="14"/>
      <c r="M60" s="15"/>
      <c r="N60" s="15"/>
      <c r="O60" s="16"/>
      <c r="P60" s="11">
        <f>SUM(D60:O60)</f>
        <v>250</v>
      </c>
    </row>
    <row r="61" spans="3:16" ht="13.5" thickBot="1">
      <c r="C61" s="9" t="str">
        <f>C55</f>
        <v>Intercept</v>
      </c>
      <c r="D61" s="11">
        <f>7916.67+17757.29</f>
        <v>25673.96</v>
      </c>
      <c r="E61" s="11">
        <f>7916.67+17757.29</f>
        <v>25673.96</v>
      </c>
      <c r="F61" s="11">
        <f>7916.67+17757.29</f>
        <v>25673.96</v>
      </c>
      <c r="G61" s="11">
        <f>7916.67+17757.29</f>
        <v>25673.96</v>
      </c>
      <c r="H61" s="11">
        <f aca="true" t="shared" si="7" ref="H61:O61">7916.67+17559.38</f>
        <v>25476.050000000003</v>
      </c>
      <c r="I61" s="11">
        <f t="shared" si="7"/>
        <v>25476.050000000003</v>
      </c>
      <c r="J61" s="11">
        <f t="shared" si="7"/>
        <v>25476.050000000003</v>
      </c>
      <c r="K61" s="11">
        <f t="shared" si="7"/>
        <v>25476.050000000003</v>
      </c>
      <c r="L61" s="11">
        <f t="shared" si="7"/>
        <v>25476.050000000003</v>
      </c>
      <c r="M61" s="11">
        <f t="shared" si="7"/>
        <v>25476.050000000003</v>
      </c>
      <c r="N61" s="11">
        <f t="shared" si="7"/>
        <v>25476.050000000003</v>
      </c>
      <c r="O61" s="12">
        <f t="shared" si="7"/>
        <v>25476.050000000003</v>
      </c>
      <c r="P61" s="11">
        <f>SUM(D61:O61)</f>
        <v>306504.23999999993</v>
      </c>
    </row>
    <row r="62" spans="3:16" ht="13.5" thickBot="1">
      <c r="C62" s="17" t="s">
        <v>28</v>
      </c>
      <c r="D62" s="18">
        <f aca="true" t="shared" si="8" ref="D62:P62">SUM(D59:D61)</f>
        <v>26291.04</v>
      </c>
      <c r="E62" s="18">
        <f t="shared" si="8"/>
        <v>26041.04</v>
      </c>
      <c r="F62" s="18">
        <f t="shared" si="8"/>
        <v>26041.04</v>
      </c>
      <c r="G62" s="18">
        <f t="shared" si="8"/>
        <v>26041.04</v>
      </c>
      <c r="H62" s="18">
        <f t="shared" si="8"/>
        <v>25843.130000000005</v>
      </c>
      <c r="I62" s="18">
        <f t="shared" si="8"/>
        <v>25843.130000000005</v>
      </c>
      <c r="J62" s="18">
        <f t="shared" si="8"/>
        <v>25843.130000000005</v>
      </c>
      <c r="K62" s="18">
        <f t="shared" si="8"/>
        <v>25843.130000000005</v>
      </c>
      <c r="L62" s="18">
        <f t="shared" si="8"/>
        <v>25843.130000000005</v>
      </c>
      <c r="M62" s="18">
        <f t="shared" si="8"/>
        <v>25835.22</v>
      </c>
      <c r="N62" s="18">
        <f t="shared" si="8"/>
        <v>25835.22</v>
      </c>
      <c r="O62" s="19">
        <f t="shared" si="8"/>
        <v>25835.22</v>
      </c>
      <c r="P62" s="20">
        <f t="shared" si="8"/>
        <v>311135.4699999999</v>
      </c>
    </row>
    <row r="63" spans="3:15" ht="12.75">
      <c r="C63" s="9"/>
      <c r="M63" s="3"/>
      <c r="O63" s="4"/>
    </row>
    <row r="64" spans="2:15" ht="21">
      <c r="B64" s="26" t="s">
        <v>20</v>
      </c>
      <c r="C64" s="27" t="s">
        <v>29</v>
      </c>
      <c r="M64" s="3"/>
      <c r="O64" s="4"/>
    </row>
    <row r="65" spans="3:15" ht="12.75">
      <c r="C65" s="9" t="str">
        <f>C59</f>
        <v>Debt Reserve</v>
      </c>
      <c r="M65" s="3"/>
      <c r="O65" s="4"/>
    </row>
    <row r="66" spans="3:15" ht="12.75">
      <c r="C66" s="9" t="str">
        <f>C60</f>
        <v>Treasury Fee</v>
      </c>
      <c r="M66" s="3"/>
      <c r="O66" s="4"/>
    </row>
    <row r="67" spans="3:15" ht="13.5" thickBot="1">
      <c r="C67" s="9" t="str">
        <f>C61</f>
        <v>Intercept</v>
      </c>
      <c r="M67" s="3"/>
      <c r="O67" s="4"/>
    </row>
    <row r="68" spans="3:15" ht="13.5" thickBot="1">
      <c r="C68" s="17" t="s">
        <v>30</v>
      </c>
      <c r="M68" s="3"/>
      <c r="O68" s="4"/>
    </row>
    <row r="69" spans="3:15" ht="12.75">
      <c r="C69" s="9"/>
      <c r="M69" s="3"/>
      <c r="O69" s="4"/>
    </row>
    <row r="70" spans="1:15" ht="15.75">
      <c r="A70" s="1">
        <f>+A58+1</f>
        <v>6</v>
      </c>
      <c r="C70" s="10" t="s">
        <v>31</v>
      </c>
      <c r="M70" s="3"/>
      <c r="O70" s="4"/>
    </row>
    <row r="71" spans="3:16" ht="12.75">
      <c r="C71" s="9" t="str">
        <f>C65</f>
        <v>Debt Reserve</v>
      </c>
      <c r="D71" s="11">
        <v>1805.83</v>
      </c>
      <c r="E71" s="11">
        <v>1805.83</v>
      </c>
      <c r="F71" s="11">
        <v>1805.83</v>
      </c>
      <c r="G71" s="11">
        <v>1805.83</v>
      </c>
      <c r="H71" s="11">
        <v>1805.83</v>
      </c>
      <c r="I71" s="11">
        <v>1805.83</v>
      </c>
      <c r="J71" s="11">
        <v>1805.83</v>
      </c>
      <c r="K71" s="11">
        <v>1805.83</v>
      </c>
      <c r="L71" s="11">
        <v>1805.83</v>
      </c>
      <c r="M71" s="11">
        <v>1769.17</v>
      </c>
      <c r="N71" s="11">
        <v>1769.17</v>
      </c>
      <c r="O71" s="12">
        <v>1769.17</v>
      </c>
      <c r="P71" s="11">
        <f>SUM(D71:O71)</f>
        <v>21559.979999999996</v>
      </c>
    </row>
    <row r="72" spans="3:16" ht="12.75">
      <c r="C72" s="9" t="str">
        <f>C66</f>
        <v>Treasury Fee</v>
      </c>
      <c r="D72" s="13">
        <v>250</v>
      </c>
      <c r="E72" s="13"/>
      <c r="F72" s="13"/>
      <c r="G72" s="13"/>
      <c r="H72" s="14"/>
      <c r="I72" s="14"/>
      <c r="J72" s="14"/>
      <c r="K72" s="14"/>
      <c r="L72" s="14"/>
      <c r="M72" s="15"/>
      <c r="N72" s="15"/>
      <c r="O72" s="16"/>
      <c r="P72" s="11">
        <f>SUM(D72:O72)</f>
        <v>250</v>
      </c>
    </row>
    <row r="73" spans="3:16" ht="13.5" thickBot="1">
      <c r="C73" s="9" t="str">
        <f>C67</f>
        <v>Intercept</v>
      </c>
      <c r="D73" s="11">
        <f>36666.67+91628.54</f>
        <v>128295.20999999999</v>
      </c>
      <c r="E73" s="11">
        <f>37916.67+90528.54</f>
        <v>128445.20999999999</v>
      </c>
      <c r="F73" s="11">
        <f aca="true" t="shared" si="9" ref="F73:O73">37916.67+90528.54</f>
        <v>128445.20999999999</v>
      </c>
      <c r="G73" s="11">
        <f t="shared" si="9"/>
        <v>128445.20999999999</v>
      </c>
      <c r="H73" s="11">
        <f t="shared" si="9"/>
        <v>128445.20999999999</v>
      </c>
      <c r="I73" s="11">
        <f t="shared" si="9"/>
        <v>128445.20999999999</v>
      </c>
      <c r="J73" s="11">
        <f t="shared" si="9"/>
        <v>128445.20999999999</v>
      </c>
      <c r="K73" s="11">
        <f t="shared" si="9"/>
        <v>128445.20999999999</v>
      </c>
      <c r="L73" s="11">
        <f t="shared" si="9"/>
        <v>128445.20999999999</v>
      </c>
      <c r="M73" s="11">
        <f t="shared" si="9"/>
        <v>128445.20999999999</v>
      </c>
      <c r="N73" s="11">
        <f t="shared" si="9"/>
        <v>128445.20999999999</v>
      </c>
      <c r="O73" s="12">
        <f t="shared" si="9"/>
        <v>128445.20999999999</v>
      </c>
      <c r="P73" s="11">
        <f>SUM(D73:O73)</f>
        <v>1541192.5199999998</v>
      </c>
    </row>
    <row r="74" spans="3:16" ht="13.5" thickBot="1">
      <c r="C74" s="17" t="s">
        <v>32</v>
      </c>
      <c r="D74" s="18">
        <f aca="true" t="shared" si="10" ref="D74:P74">SUM(D71:D73)</f>
        <v>130351.04</v>
      </c>
      <c r="E74" s="18">
        <f t="shared" si="10"/>
        <v>130251.04</v>
      </c>
      <c r="F74" s="18">
        <f t="shared" si="10"/>
        <v>130251.04</v>
      </c>
      <c r="G74" s="18">
        <f t="shared" si="10"/>
        <v>130251.04</v>
      </c>
      <c r="H74" s="18">
        <f t="shared" si="10"/>
        <v>130251.04</v>
      </c>
      <c r="I74" s="18">
        <f t="shared" si="10"/>
        <v>130251.04</v>
      </c>
      <c r="J74" s="18">
        <f t="shared" si="10"/>
        <v>130251.04</v>
      </c>
      <c r="K74" s="18">
        <f t="shared" si="10"/>
        <v>130251.04</v>
      </c>
      <c r="L74" s="18">
        <f t="shared" si="10"/>
        <v>130251.04</v>
      </c>
      <c r="M74" s="18">
        <f t="shared" si="10"/>
        <v>130214.37999999999</v>
      </c>
      <c r="N74" s="18">
        <f t="shared" si="10"/>
        <v>130214.37999999999</v>
      </c>
      <c r="O74" s="19">
        <f t="shared" si="10"/>
        <v>130214.37999999999</v>
      </c>
      <c r="P74" s="20">
        <f t="shared" si="10"/>
        <v>1563002.4999999998</v>
      </c>
    </row>
    <row r="75" spans="3:15" ht="12.75">
      <c r="C75" s="9"/>
      <c r="M75" s="3"/>
      <c r="O75" s="4"/>
    </row>
    <row r="76" spans="1:15" ht="15.75">
      <c r="A76" s="1">
        <f>A70+1</f>
        <v>7</v>
      </c>
      <c r="C76" s="10" t="s">
        <v>33</v>
      </c>
      <c r="M76" s="3"/>
      <c r="O76" s="4"/>
    </row>
    <row r="77" spans="3:16" ht="12.75">
      <c r="C77" s="9" t="str">
        <f>C71</f>
        <v>Debt Reserve</v>
      </c>
      <c r="D77" s="11">
        <v>613.75</v>
      </c>
      <c r="E77" s="11">
        <v>613.75</v>
      </c>
      <c r="F77" s="11">
        <v>613.75</v>
      </c>
      <c r="G77" s="11">
        <v>613.75</v>
      </c>
      <c r="H77" s="11">
        <v>613.75</v>
      </c>
      <c r="I77" s="11">
        <v>613.75</v>
      </c>
      <c r="J77" s="11">
        <v>613.75</v>
      </c>
      <c r="K77" s="11">
        <v>613.75</v>
      </c>
      <c r="L77" s="11">
        <v>613.75</v>
      </c>
      <c r="M77" s="11">
        <v>613.75</v>
      </c>
      <c r="N77" s="11">
        <v>596.67</v>
      </c>
      <c r="O77" s="12">
        <v>596.67</v>
      </c>
      <c r="P77" s="11">
        <f>SUM(D77:O77)</f>
        <v>7330.84</v>
      </c>
    </row>
    <row r="78" spans="3:16" ht="12.75">
      <c r="C78" s="9" t="str">
        <f>C72</f>
        <v>Treasury Fee</v>
      </c>
      <c r="D78" s="13">
        <v>250</v>
      </c>
      <c r="E78" s="13"/>
      <c r="F78" s="13"/>
      <c r="G78" s="13"/>
      <c r="H78" s="14"/>
      <c r="I78" s="14"/>
      <c r="J78" s="14"/>
      <c r="K78" s="14"/>
      <c r="L78" s="14"/>
      <c r="M78" s="15"/>
      <c r="N78" s="15"/>
      <c r="O78" s="16"/>
      <c r="P78" s="11">
        <f>SUM(D78:O78)</f>
        <v>250</v>
      </c>
    </row>
    <row r="79" spans="3:16" ht="13.5" thickBot="1">
      <c r="C79" s="9" t="str">
        <f>C73</f>
        <v>Intercept</v>
      </c>
      <c r="D79" s="11">
        <f>17083.33+31044.79</f>
        <v>48128.12</v>
      </c>
      <c r="E79" s="11">
        <f aca="true" t="shared" si="11" ref="E79:N79">17083.33+31044.79</f>
        <v>48128.12</v>
      </c>
      <c r="F79" s="11">
        <f t="shared" si="11"/>
        <v>48128.12</v>
      </c>
      <c r="G79" s="11">
        <f t="shared" si="11"/>
        <v>48128.12</v>
      </c>
      <c r="H79" s="11">
        <f t="shared" si="11"/>
        <v>48128.12</v>
      </c>
      <c r="I79" s="11">
        <f t="shared" si="11"/>
        <v>48128.12</v>
      </c>
      <c r="J79" s="11">
        <f t="shared" si="11"/>
        <v>48128.12</v>
      </c>
      <c r="K79" s="11">
        <f t="shared" si="11"/>
        <v>48128.12</v>
      </c>
      <c r="L79" s="11">
        <f t="shared" si="11"/>
        <v>48128.12</v>
      </c>
      <c r="M79" s="11">
        <f t="shared" si="11"/>
        <v>48128.12</v>
      </c>
      <c r="N79" s="11">
        <f t="shared" si="11"/>
        <v>48128.12</v>
      </c>
      <c r="O79" s="12">
        <f>17916.67+30190.63</f>
        <v>48107.3</v>
      </c>
      <c r="P79" s="11">
        <f>SUM(D79:O79)</f>
        <v>577516.6200000001</v>
      </c>
    </row>
    <row r="80" spans="3:16" ht="13.5" thickBot="1">
      <c r="C80" s="17" t="s">
        <v>34</v>
      </c>
      <c r="D80" s="18">
        <f aca="true" t="shared" si="12" ref="D80:P80">SUM(D77:D79)</f>
        <v>48991.87</v>
      </c>
      <c r="E80" s="18">
        <f t="shared" si="12"/>
        <v>48741.87</v>
      </c>
      <c r="F80" s="18">
        <f t="shared" si="12"/>
        <v>48741.87</v>
      </c>
      <c r="G80" s="18">
        <f t="shared" si="12"/>
        <v>48741.87</v>
      </c>
      <c r="H80" s="18">
        <f t="shared" si="12"/>
        <v>48741.87</v>
      </c>
      <c r="I80" s="18">
        <f t="shared" si="12"/>
        <v>48741.87</v>
      </c>
      <c r="J80" s="18">
        <f t="shared" si="12"/>
        <v>48741.87</v>
      </c>
      <c r="K80" s="18">
        <f t="shared" si="12"/>
        <v>48741.87</v>
      </c>
      <c r="L80" s="18">
        <f t="shared" si="12"/>
        <v>48741.87</v>
      </c>
      <c r="M80" s="18">
        <f t="shared" si="12"/>
        <v>48741.87</v>
      </c>
      <c r="N80" s="18">
        <f t="shared" si="12"/>
        <v>48724.79</v>
      </c>
      <c r="O80" s="19">
        <f t="shared" si="12"/>
        <v>48703.97</v>
      </c>
      <c r="P80" s="20">
        <f t="shared" si="12"/>
        <v>585097.4600000001</v>
      </c>
    </row>
    <row r="81" spans="3:15" ht="12.75">
      <c r="C81" s="29"/>
      <c r="M81" s="3"/>
      <c r="O81" s="4"/>
    </row>
    <row r="82" spans="1:15" ht="15.75">
      <c r="A82" s="1">
        <f>A76+1</f>
        <v>8</v>
      </c>
      <c r="C82" s="10" t="s">
        <v>35</v>
      </c>
      <c r="M82" s="3"/>
      <c r="O82" s="4"/>
    </row>
    <row r="83" spans="3:16" ht="12.75">
      <c r="C83" s="9" t="str">
        <f>C77</f>
        <v>Debt Reserve</v>
      </c>
      <c r="D83" s="11">
        <v>1678.33</v>
      </c>
      <c r="E83" s="11">
        <v>1678.33</v>
      </c>
      <c r="F83" s="11">
        <v>1678.33</v>
      </c>
      <c r="G83" s="11">
        <v>1678.33</v>
      </c>
      <c r="H83" s="11">
        <v>1678.33</v>
      </c>
      <c r="I83" s="11">
        <v>1678.33</v>
      </c>
      <c r="J83" s="11">
        <v>1678.33</v>
      </c>
      <c r="K83" s="11">
        <v>1678.33</v>
      </c>
      <c r="L83" s="11">
        <v>1678.33</v>
      </c>
      <c r="M83" s="11">
        <v>1678.33</v>
      </c>
      <c r="N83" s="11">
        <v>1648.33</v>
      </c>
      <c r="O83" s="12">
        <v>1648.33</v>
      </c>
      <c r="P83" s="11">
        <f>SUM(D83:O83)</f>
        <v>20079.96</v>
      </c>
    </row>
    <row r="84" spans="3:16" ht="12.75">
      <c r="C84" s="9" t="str">
        <f>C78</f>
        <v>Treasury Fee</v>
      </c>
      <c r="D84" s="13">
        <v>250</v>
      </c>
      <c r="E84" s="13"/>
      <c r="F84" s="13"/>
      <c r="G84" s="13"/>
      <c r="H84" s="14"/>
      <c r="I84" s="14"/>
      <c r="J84" s="14"/>
      <c r="K84" s="14"/>
      <c r="L84" s="14"/>
      <c r="M84" s="15"/>
      <c r="N84" s="15"/>
      <c r="O84" s="16"/>
      <c r="P84" s="11">
        <f>SUM(D84:O84)</f>
        <v>250</v>
      </c>
    </row>
    <row r="85" spans="3:16" ht="13.5" thickBot="1">
      <c r="C85" s="9" t="str">
        <f>C79</f>
        <v>Intercept</v>
      </c>
      <c r="D85" s="11">
        <f aca="true" t="shared" si="13" ref="D85:M85">30000+88630.63</f>
        <v>118630.63</v>
      </c>
      <c r="E85" s="11">
        <f t="shared" si="13"/>
        <v>118630.63</v>
      </c>
      <c r="F85" s="11">
        <f t="shared" si="13"/>
        <v>118630.63</v>
      </c>
      <c r="G85" s="11">
        <f t="shared" si="13"/>
        <v>118630.63</v>
      </c>
      <c r="H85" s="11">
        <f t="shared" si="13"/>
        <v>118630.63</v>
      </c>
      <c r="I85" s="11">
        <f t="shared" si="13"/>
        <v>118630.63</v>
      </c>
      <c r="J85" s="11">
        <f t="shared" si="13"/>
        <v>118630.63</v>
      </c>
      <c r="K85" s="11">
        <f t="shared" si="13"/>
        <v>118630.63</v>
      </c>
      <c r="L85" s="11">
        <f t="shared" si="13"/>
        <v>118630.63</v>
      </c>
      <c r="M85" s="11">
        <f t="shared" si="13"/>
        <v>118630.63</v>
      </c>
      <c r="N85" s="11">
        <f>31666.67+87265.63</f>
        <v>118932.3</v>
      </c>
      <c r="O85" s="12">
        <f>31666.67+87265.63</f>
        <v>118932.3</v>
      </c>
      <c r="P85" s="11">
        <f>SUM(D85:O85)</f>
        <v>1424170.9</v>
      </c>
    </row>
    <row r="86" spans="3:16" ht="13.5" thickBot="1">
      <c r="C86" s="17" t="s">
        <v>36</v>
      </c>
      <c r="D86" s="18">
        <f aca="true" t="shared" si="14" ref="D86:P86">SUM(D83:D85)</f>
        <v>120558.96</v>
      </c>
      <c r="E86" s="18">
        <f t="shared" si="14"/>
        <v>120308.96</v>
      </c>
      <c r="F86" s="18">
        <f t="shared" si="14"/>
        <v>120308.96</v>
      </c>
      <c r="G86" s="18">
        <f t="shared" si="14"/>
        <v>120308.96</v>
      </c>
      <c r="H86" s="18">
        <f t="shared" si="14"/>
        <v>120308.96</v>
      </c>
      <c r="I86" s="18">
        <f t="shared" si="14"/>
        <v>120308.96</v>
      </c>
      <c r="J86" s="18">
        <f t="shared" si="14"/>
        <v>120308.96</v>
      </c>
      <c r="K86" s="18">
        <f t="shared" si="14"/>
        <v>120308.96</v>
      </c>
      <c r="L86" s="18">
        <f t="shared" si="14"/>
        <v>120308.96</v>
      </c>
      <c r="M86" s="18">
        <f t="shared" si="14"/>
        <v>120308.96</v>
      </c>
      <c r="N86" s="18">
        <f t="shared" si="14"/>
        <v>120580.63</v>
      </c>
      <c r="O86" s="19">
        <f t="shared" si="14"/>
        <v>120580.63</v>
      </c>
      <c r="P86" s="20">
        <f t="shared" si="14"/>
        <v>1444500.8599999999</v>
      </c>
    </row>
    <row r="87" spans="3:15" ht="12.75">
      <c r="C87" s="29"/>
      <c r="M87" s="3"/>
      <c r="O87" s="4"/>
    </row>
    <row r="88" spans="1:15" ht="15.75">
      <c r="A88" s="1">
        <f>A82+1</f>
        <v>9</v>
      </c>
      <c r="C88" s="10" t="s">
        <v>37</v>
      </c>
      <c r="M88" s="3"/>
      <c r="O88" s="4"/>
    </row>
    <row r="89" spans="3:16" ht="12.75">
      <c r="C89" s="9" t="str">
        <f>C83</f>
        <v>Debt Reserve</v>
      </c>
      <c r="D89" s="11">
        <v>1552.08</v>
      </c>
      <c r="E89" s="11">
        <v>1552.08</v>
      </c>
      <c r="F89" s="11">
        <v>1552.08</v>
      </c>
      <c r="G89" s="11">
        <v>1552.08</v>
      </c>
      <c r="H89" s="11">
        <v>1552.08</v>
      </c>
      <c r="I89" s="11">
        <v>1552.08</v>
      </c>
      <c r="J89" s="11">
        <v>1552.08</v>
      </c>
      <c r="K89" s="11">
        <v>1552.08</v>
      </c>
      <c r="L89" s="11">
        <v>1552.08</v>
      </c>
      <c r="M89" s="11">
        <v>1552.08</v>
      </c>
      <c r="N89" s="11">
        <v>1552.08</v>
      </c>
      <c r="O89" s="12">
        <v>1515.83</v>
      </c>
      <c r="P89" s="11">
        <f>SUM(D89:O89)</f>
        <v>18588.71</v>
      </c>
    </row>
    <row r="90" spans="3:16" ht="12.75">
      <c r="C90" s="9" t="str">
        <f>C84</f>
        <v>Treasury Fee</v>
      </c>
      <c r="D90" s="13">
        <v>250</v>
      </c>
      <c r="E90" s="13"/>
      <c r="F90" s="13"/>
      <c r="G90" s="13"/>
      <c r="H90" s="14"/>
      <c r="I90" s="14"/>
      <c r="J90" s="14"/>
      <c r="K90" s="14"/>
      <c r="L90" s="14"/>
      <c r="M90" s="15"/>
      <c r="N90" s="15"/>
      <c r="O90" s="16"/>
      <c r="P90" s="11">
        <f>SUM(D90:O90)</f>
        <v>250</v>
      </c>
    </row>
    <row r="91" spans="3:16" ht="13.5" thickBot="1">
      <c r="C91" s="9" t="str">
        <f>C85</f>
        <v>Intercept</v>
      </c>
      <c r="D91" s="11">
        <f aca="true" t="shared" si="15" ref="D91:N91">36250+76547.92</f>
        <v>112797.92</v>
      </c>
      <c r="E91" s="11">
        <f t="shared" si="15"/>
        <v>112797.92</v>
      </c>
      <c r="F91" s="11">
        <f t="shared" si="15"/>
        <v>112797.92</v>
      </c>
      <c r="G91" s="11">
        <f t="shared" si="15"/>
        <v>112797.92</v>
      </c>
      <c r="H91" s="11">
        <f t="shared" si="15"/>
        <v>112797.92</v>
      </c>
      <c r="I91" s="11">
        <f t="shared" si="15"/>
        <v>112797.92</v>
      </c>
      <c r="J91" s="11">
        <f t="shared" si="15"/>
        <v>112797.92</v>
      </c>
      <c r="K91" s="11">
        <f t="shared" si="15"/>
        <v>112797.92</v>
      </c>
      <c r="L91" s="11">
        <f t="shared" si="15"/>
        <v>112797.92</v>
      </c>
      <c r="M91" s="11">
        <f t="shared" si="15"/>
        <v>112797.92</v>
      </c>
      <c r="N91" s="11">
        <f t="shared" si="15"/>
        <v>112797.92</v>
      </c>
      <c r="O91" s="12">
        <f>37500+75188.54</f>
        <v>112688.54</v>
      </c>
      <c r="P91" s="11">
        <f>SUM(D91:O91)</f>
        <v>1353465.6600000001</v>
      </c>
    </row>
    <row r="92" spans="3:16" ht="13.5" thickBot="1">
      <c r="C92" s="17" t="s">
        <v>38</v>
      </c>
      <c r="D92" s="18">
        <f aca="true" t="shared" si="16" ref="D92:P92">SUM(D89:D91)</f>
        <v>114600</v>
      </c>
      <c r="E92" s="18">
        <f t="shared" si="16"/>
        <v>114350</v>
      </c>
      <c r="F92" s="18">
        <f t="shared" si="16"/>
        <v>114350</v>
      </c>
      <c r="G92" s="18">
        <f t="shared" si="16"/>
        <v>114350</v>
      </c>
      <c r="H92" s="18">
        <f t="shared" si="16"/>
        <v>114350</v>
      </c>
      <c r="I92" s="18">
        <f t="shared" si="16"/>
        <v>114350</v>
      </c>
      <c r="J92" s="18">
        <f t="shared" si="16"/>
        <v>114350</v>
      </c>
      <c r="K92" s="18">
        <f t="shared" si="16"/>
        <v>114350</v>
      </c>
      <c r="L92" s="18">
        <f t="shared" si="16"/>
        <v>114350</v>
      </c>
      <c r="M92" s="18">
        <f t="shared" si="16"/>
        <v>114350</v>
      </c>
      <c r="N92" s="18">
        <f t="shared" si="16"/>
        <v>114350</v>
      </c>
      <c r="O92" s="19">
        <f t="shared" si="16"/>
        <v>114204.37</v>
      </c>
      <c r="P92" s="20">
        <f t="shared" si="16"/>
        <v>1372304.37</v>
      </c>
    </row>
    <row r="93" spans="3:15" ht="12.75">
      <c r="C93" s="29"/>
      <c r="M93" s="3"/>
      <c r="O93" s="4"/>
    </row>
    <row r="94" spans="2:15" ht="21">
      <c r="B94" s="26" t="s">
        <v>20</v>
      </c>
      <c r="C94" s="27" t="s">
        <v>39</v>
      </c>
      <c r="M94" s="3"/>
      <c r="O94" s="4"/>
    </row>
    <row r="95" spans="3:15" ht="12.75">
      <c r="C95" s="9" t="str">
        <f>C89</f>
        <v>Debt Reserve</v>
      </c>
      <c r="M95" s="3"/>
      <c r="O95" s="4"/>
    </row>
    <row r="96" spans="3:15" ht="12.75">
      <c r="C96" s="9" t="str">
        <f>C90</f>
        <v>Treasury Fee</v>
      </c>
      <c r="M96" s="3"/>
      <c r="O96" s="4"/>
    </row>
    <row r="97" spans="3:15" ht="13.5" thickBot="1">
      <c r="C97" s="9" t="str">
        <f>C91</f>
        <v>Intercept</v>
      </c>
      <c r="M97" s="3"/>
      <c r="O97" s="4"/>
    </row>
    <row r="98" spans="3:15" ht="13.5" thickBot="1">
      <c r="C98" s="17" t="s">
        <v>40</v>
      </c>
      <c r="M98" s="3"/>
      <c r="O98" s="4"/>
    </row>
    <row r="99" spans="3:15" ht="12.75">
      <c r="C99" s="29"/>
      <c r="M99" s="3"/>
      <c r="O99" s="4"/>
    </row>
    <row r="100" spans="2:15" ht="21">
      <c r="B100" s="26" t="s">
        <v>20</v>
      </c>
      <c r="C100" s="27" t="s">
        <v>41</v>
      </c>
      <c r="M100" s="3"/>
      <c r="O100" s="4"/>
    </row>
    <row r="101" spans="3:15" ht="12.75">
      <c r="C101" s="9" t="str">
        <f>C95</f>
        <v>Debt Reserve</v>
      </c>
      <c r="M101" s="3"/>
      <c r="O101" s="4"/>
    </row>
    <row r="102" spans="3:15" ht="12.75">
      <c r="C102" s="9" t="str">
        <f>C96</f>
        <v>Treasury Fee</v>
      </c>
      <c r="M102" s="3"/>
      <c r="O102" s="4"/>
    </row>
    <row r="103" spans="3:15" ht="13.5" thickBot="1">
      <c r="C103" s="9" t="str">
        <f>C97</f>
        <v>Intercept</v>
      </c>
      <c r="M103" s="3"/>
      <c r="O103" s="4"/>
    </row>
    <row r="104" spans="3:15" ht="13.5" thickBot="1">
      <c r="C104" s="17" t="s">
        <v>42</v>
      </c>
      <c r="M104" s="3"/>
      <c r="O104" s="4"/>
    </row>
    <row r="105" spans="3:15" ht="12.75">
      <c r="C105" s="29"/>
      <c r="M105" s="3"/>
      <c r="O105" s="4"/>
    </row>
    <row r="106" spans="1:15" ht="15.75">
      <c r="A106" s="1">
        <f>+A88+1</f>
        <v>10</v>
      </c>
      <c r="C106" s="10" t="s">
        <v>43</v>
      </c>
      <c r="M106" s="3"/>
      <c r="O106" s="4"/>
    </row>
    <row r="107" spans="3:16" ht="12.75">
      <c r="C107" s="9" t="str">
        <f>C89</f>
        <v>Debt Reserve</v>
      </c>
      <c r="D107" s="11">
        <v>572.5</v>
      </c>
      <c r="E107" s="11">
        <v>572.5</v>
      </c>
      <c r="F107" s="11">
        <v>560.42</v>
      </c>
      <c r="G107" s="11">
        <v>560.42</v>
      </c>
      <c r="H107" s="11">
        <v>560.42</v>
      </c>
      <c r="I107" s="11">
        <v>560.42</v>
      </c>
      <c r="J107" s="11">
        <v>560.42</v>
      </c>
      <c r="K107" s="11">
        <v>560.42</v>
      </c>
      <c r="L107" s="11">
        <v>560.42</v>
      </c>
      <c r="M107" s="11">
        <v>560.42</v>
      </c>
      <c r="N107" s="11">
        <v>560.42</v>
      </c>
      <c r="O107" s="12">
        <v>560.42</v>
      </c>
      <c r="P107" s="11">
        <f>SUM(D107:O107)</f>
        <v>6749.200000000001</v>
      </c>
    </row>
    <row r="108" spans="3:16" ht="12.75">
      <c r="C108" s="9" t="str">
        <f>C90</f>
        <v>Treasury Fee</v>
      </c>
      <c r="D108" s="13">
        <v>250</v>
      </c>
      <c r="E108" s="13"/>
      <c r="F108" s="13"/>
      <c r="G108" s="13"/>
      <c r="H108" s="14"/>
      <c r="I108" s="14"/>
      <c r="J108" s="14"/>
      <c r="K108" s="14"/>
      <c r="L108" s="14"/>
      <c r="M108" s="15"/>
      <c r="N108" s="15"/>
      <c r="O108" s="16"/>
      <c r="P108" s="11">
        <f>SUM(D108:O108)</f>
        <v>250</v>
      </c>
    </row>
    <row r="109" spans="3:16" ht="13.5" thickBot="1">
      <c r="C109" s="9" t="str">
        <f>C91</f>
        <v>Intercept</v>
      </c>
      <c r="D109" s="11">
        <f aca="true" t="shared" si="17" ref="D109:I109">11666.67+28671.88</f>
        <v>40338.55</v>
      </c>
      <c r="E109" s="11">
        <f t="shared" si="17"/>
        <v>40338.55</v>
      </c>
      <c r="F109" s="11">
        <f t="shared" si="17"/>
        <v>40338.55</v>
      </c>
      <c r="G109" s="11">
        <f t="shared" si="17"/>
        <v>40338.55</v>
      </c>
      <c r="H109" s="11">
        <f t="shared" si="17"/>
        <v>40338.55</v>
      </c>
      <c r="I109" s="11">
        <f t="shared" si="17"/>
        <v>40338.55</v>
      </c>
      <c r="J109" s="11">
        <f>11666.67+28671.88</f>
        <v>40338.55</v>
      </c>
      <c r="K109" s="11">
        <f>12083.33+28263.54</f>
        <v>40346.87</v>
      </c>
      <c r="L109" s="11">
        <f>12083.33+28263.54</f>
        <v>40346.87</v>
      </c>
      <c r="M109" s="11">
        <f>12083.33+28263.54</f>
        <v>40346.87</v>
      </c>
      <c r="N109" s="11">
        <f>12083.33+28263.54</f>
        <v>40346.87</v>
      </c>
      <c r="O109" s="12">
        <f>12083.33+28263.54</f>
        <v>40346.87</v>
      </c>
      <c r="P109" s="11">
        <f>SUM(D109:O109)</f>
        <v>484104.19999999995</v>
      </c>
    </row>
    <row r="110" spans="3:16" ht="13.5" thickBot="1">
      <c r="C110" s="17" t="s">
        <v>44</v>
      </c>
      <c r="D110" s="18">
        <f aca="true" t="shared" si="18" ref="D110:P110">SUM(D107:D109)</f>
        <v>41161.05</v>
      </c>
      <c r="E110" s="18">
        <f t="shared" si="18"/>
        <v>40911.05</v>
      </c>
      <c r="F110" s="18">
        <f t="shared" si="18"/>
        <v>40898.97</v>
      </c>
      <c r="G110" s="18">
        <f t="shared" si="18"/>
        <v>40898.97</v>
      </c>
      <c r="H110" s="18">
        <f t="shared" si="18"/>
        <v>40898.97</v>
      </c>
      <c r="I110" s="18">
        <f t="shared" si="18"/>
        <v>40898.97</v>
      </c>
      <c r="J110" s="18">
        <f t="shared" si="18"/>
        <v>40898.97</v>
      </c>
      <c r="K110" s="18">
        <f t="shared" si="18"/>
        <v>40907.29</v>
      </c>
      <c r="L110" s="18">
        <f t="shared" si="18"/>
        <v>40907.29</v>
      </c>
      <c r="M110" s="18">
        <f t="shared" si="18"/>
        <v>40907.29</v>
      </c>
      <c r="N110" s="18">
        <f t="shared" si="18"/>
        <v>40907.29</v>
      </c>
      <c r="O110" s="19">
        <f t="shared" si="18"/>
        <v>40907.29</v>
      </c>
      <c r="P110" s="20">
        <f t="shared" si="18"/>
        <v>491103.39999999997</v>
      </c>
    </row>
    <row r="111" spans="3:15" ht="12.75">
      <c r="C111" s="29"/>
      <c r="M111" s="3"/>
      <c r="O111" s="4"/>
    </row>
    <row r="112" spans="1:15" ht="15.75">
      <c r="A112" s="1">
        <f>A106+1</f>
        <v>11</v>
      </c>
      <c r="C112" s="10" t="s">
        <v>45</v>
      </c>
      <c r="M112" s="3"/>
      <c r="O112" s="4"/>
    </row>
    <row r="113" spans="3:16" ht="12.75">
      <c r="C113" s="9" t="str">
        <f>C95</f>
        <v>Debt Reserve</v>
      </c>
      <c r="D113" s="11">
        <v>619.58</v>
      </c>
      <c r="E113" s="11">
        <v>619.58</v>
      </c>
      <c r="F113" s="11">
        <v>619.58</v>
      </c>
      <c r="G113" s="11">
        <v>619.58</v>
      </c>
      <c r="H113" s="11">
        <v>605.42</v>
      </c>
      <c r="I113" s="11">
        <v>605.42</v>
      </c>
      <c r="J113" s="11">
        <v>605.42</v>
      </c>
      <c r="K113" s="11">
        <v>605.42</v>
      </c>
      <c r="L113" s="11">
        <v>605.42</v>
      </c>
      <c r="M113" s="11">
        <v>605.42</v>
      </c>
      <c r="N113" s="11">
        <v>605.42</v>
      </c>
      <c r="O113" s="12">
        <v>605.42</v>
      </c>
      <c r="P113" s="11">
        <f>SUM(D113:O113)</f>
        <v>7321.68</v>
      </c>
    </row>
    <row r="114" spans="3:16" ht="12.75">
      <c r="C114" s="9" t="str">
        <f>C96</f>
        <v>Treasury Fee</v>
      </c>
      <c r="D114" s="13">
        <v>250</v>
      </c>
      <c r="E114" s="13"/>
      <c r="F114" s="13"/>
      <c r="G114" s="13"/>
      <c r="H114" s="14"/>
      <c r="I114" s="14"/>
      <c r="J114" s="14"/>
      <c r="K114" s="14"/>
      <c r="L114" s="14"/>
      <c r="M114" s="15"/>
      <c r="N114" s="15"/>
      <c r="O114" s="16"/>
      <c r="P114" s="11">
        <f>SUM(D114:O114)</f>
        <v>250</v>
      </c>
    </row>
    <row r="115" spans="3:16" ht="13.5" thickBot="1">
      <c r="C115" s="9" t="str">
        <f>C97</f>
        <v>Intercept</v>
      </c>
      <c r="D115" s="11">
        <f aca="true" t="shared" si="19" ref="D115:I115">14583.33+26824.27</f>
        <v>41407.6</v>
      </c>
      <c r="E115" s="11">
        <f t="shared" si="19"/>
        <v>41407.6</v>
      </c>
      <c r="F115" s="11">
        <f t="shared" si="19"/>
        <v>41407.6</v>
      </c>
      <c r="G115" s="11">
        <f t="shared" si="19"/>
        <v>41407.6</v>
      </c>
      <c r="H115" s="11">
        <f t="shared" si="19"/>
        <v>41407.6</v>
      </c>
      <c r="I115" s="11">
        <f t="shared" si="19"/>
        <v>41407.6</v>
      </c>
      <c r="J115" s="11">
        <f>14583.33+26824.27</f>
        <v>41407.6</v>
      </c>
      <c r="K115" s="11">
        <f>14583.33+26824.27</f>
        <v>41407.6</v>
      </c>
      <c r="L115" s="11">
        <f>15000+26386.77</f>
        <v>41386.770000000004</v>
      </c>
      <c r="M115" s="11">
        <f>15000+26386.77</f>
        <v>41386.770000000004</v>
      </c>
      <c r="N115" s="11">
        <f>15000+26386.77</f>
        <v>41386.770000000004</v>
      </c>
      <c r="O115" s="12">
        <f>15000+26386.77</f>
        <v>41386.770000000004</v>
      </c>
      <c r="P115" s="11">
        <f>SUM(D115:O115)</f>
        <v>496807.88000000006</v>
      </c>
    </row>
    <row r="116" spans="3:16" ht="13.5" thickBot="1">
      <c r="C116" s="17" t="s">
        <v>46</v>
      </c>
      <c r="D116" s="18">
        <f aca="true" t="shared" si="20" ref="D116:P116">SUM(D113:D115)</f>
        <v>42277.18</v>
      </c>
      <c r="E116" s="18">
        <f t="shared" si="20"/>
        <v>42027.18</v>
      </c>
      <c r="F116" s="18">
        <f t="shared" si="20"/>
        <v>42027.18</v>
      </c>
      <c r="G116" s="18">
        <f t="shared" si="20"/>
        <v>42027.18</v>
      </c>
      <c r="H116" s="18">
        <f t="shared" si="20"/>
        <v>42013.02</v>
      </c>
      <c r="I116" s="18">
        <f t="shared" si="20"/>
        <v>42013.02</v>
      </c>
      <c r="J116" s="18">
        <f t="shared" si="20"/>
        <v>42013.02</v>
      </c>
      <c r="K116" s="18">
        <f t="shared" si="20"/>
        <v>42013.02</v>
      </c>
      <c r="L116" s="18">
        <f t="shared" si="20"/>
        <v>41992.19</v>
      </c>
      <c r="M116" s="18">
        <f t="shared" si="20"/>
        <v>41992.19</v>
      </c>
      <c r="N116" s="18">
        <f t="shared" si="20"/>
        <v>41992.19</v>
      </c>
      <c r="O116" s="19">
        <f t="shared" si="20"/>
        <v>41992.19</v>
      </c>
      <c r="P116" s="20">
        <f t="shared" si="20"/>
        <v>504379.56000000006</v>
      </c>
    </row>
    <row r="117" spans="3:15" ht="12.75">
      <c r="C117" s="29"/>
      <c r="M117" s="3"/>
      <c r="O117" s="4"/>
    </row>
    <row r="118" spans="1:15" ht="15.75">
      <c r="A118" s="1">
        <f>A112+1</f>
        <v>12</v>
      </c>
      <c r="C118" s="10" t="s">
        <v>47</v>
      </c>
      <c r="M118" s="3"/>
      <c r="O118" s="4"/>
    </row>
    <row r="119" spans="3:16" ht="12.75">
      <c r="C119" s="9" t="str">
        <f>C101</f>
        <v>Debt Reserve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2">
        <v>0</v>
      </c>
      <c r="P119" s="11">
        <f>SUM(D119:O119)</f>
        <v>0</v>
      </c>
    </row>
    <row r="120" spans="3:16" ht="12.75">
      <c r="C120" s="9" t="str">
        <f>C102</f>
        <v>Treasury Fee</v>
      </c>
      <c r="D120" s="13">
        <v>250</v>
      </c>
      <c r="E120" s="13"/>
      <c r="F120" s="13"/>
      <c r="G120" s="13"/>
      <c r="H120" s="14"/>
      <c r="I120" s="14"/>
      <c r="J120" s="14"/>
      <c r="K120" s="14"/>
      <c r="L120" s="14"/>
      <c r="M120" s="15"/>
      <c r="N120" s="15"/>
      <c r="O120" s="16"/>
      <c r="P120" s="11">
        <f>SUM(D120:O120)</f>
        <v>250</v>
      </c>
    </row>
    <row r="121" spans="3:16" ht="13.5" thickBot="1">
      <c r="C121" s="9" t="str">
        <f>C103</f>
        <v>Intercept</v>
      </c>
      <c r="D121" s="11">
        <f aca="true" t="shared" si="21" ref="D121:I121">6250+35392.19</f>
        <v>41642.19</v>
      </c>
      <c r="E121" s="11">
        <f t="shared" si="21"/>
        <v>41642.19</v>
      </c>
      <c r="F121" s="11">
        <f t="shared" si="21"/>
        <v>41642.19</v>
      </c>
      <c r="G121" s="11">
        <f t="shared" si="21"/>
        <v>41642.19</v>
      </c>
      <c r="H121" s="11">
        <f t="shared" si="21"/>
        <v>41642.19</v>
      </c>
      <c r="I121" s="11">
        <f t="shared" si="21"/>
        <v>41642.19</v>
      </c>
      <c r="J121" s="11">
        <f>6250+35392.19</f>
        <v>41642.19</v>
      </c>
      <c r="K121" s="11">
        <f>6250+35392.19</f>
        <v>41642.19</v>
      </c>
      <c r="L121" s="11">
        <f>6666.67+34970.31</f>
        <v>41636.979999999996</v>
      </c>
      <c r="M121" s="11">
        <f>6666.67+34970.31</f>
        <v>41636.979999999996</v>
      </c>
      <c r="N121" s="11">
        <f>6666.67+34970.31</f>
        <v>41636.979999999996</v>
      </c>
      <c r="O121" s="12">
        <f>6666.67+34970.31</f>
        <v>41636.979999999996</v>
      </c>
      <c r="P121" s="11">
        <f>SUM(D121:O121)</f>
        <v>499685.43999999994</v>
      </c>
    </row>
    <row r="122" spans="3:16" ht="13.5" thickBot="1">
      <c r="C122" s="17" t="s">
        <v>48</v>
      </c>
      <c r="D122" s="18">
        <f aca="true" t="shared" si="22" ref="D122:P122">SUM(D119:D121)</f>
        <v>41892.19</v>
      </c>
      <c r="E122" s="18">
        <f t="shared" si="22"/>
        <v>41642.19</v>
      </c>
      <c r="F122" s="18">
        <f t="shared" si="22"/>
        <v>41642.19</v>
      </c>
      <c r="G122" s="18">
        <f t="shared" si="22"/>
        <v>41642.19</v>
      </c>
      <c r="H122" s="18">
        <f t="shared" si="22"/>
        <v>41642.19</v>
      </c>
      <c r="I122" s="18">
        <f t="shared" si="22"/>
        <v>41642.19</v>
      </c>
      <c r="J122" s="18">
        <f t="shared" si="22"/>
        <v>41642.19</v>
      </c>
      <c r="K122" s="18">
        <f t="shared" si="22"/>
        <v>41642.19</v>
      </c>
      <c r="L122" s="18">
        <f t="shared" si="22"/>
        <v>41636.979999999996</v>
      </c>
      <c r="M122" s="18">
        <f t="shared" si="22"/>
        <v>41636.979999999996</v>
      </c>
      <c r="N122" s="18">
        <f t="shared" si="22"/>
        <v>41636.979999999996</v>
      </c>
      <c r="O122" s="19">
        <f t="shared" si="22"/>
        <v>41636.979999999996</v>
      </c>
      <c r="P122" s="20">
        <f t="shared" si="22"/>
        <v>499935.43999999994</v>
      </c>
    </row>
    <row r="123" spans="3:15" ht="12.75">
      <c r="C123" s="29"/>
      <c r="M123" s="3"/>
      <c r="O123" s="4"/>
    </row>
    <row r="124" spans="1:15" ht="15.75">
      <c r="A124" s="1">
        <f>A118+1</f>
        <v>13</v>
      </c>
      <c r="C124" s="10" t="s">
        <v>49</v>
      </c>
      <c r="M124" s="3"/>
      <c r="O124" s="4"/>
    </row>
    <row r="125" spans="3:16" ht="12.75">
      <c r="C125" s="9" t="str">
        <f>C107</f>
        <v>Debt Reserve</v>
      </c>
      <c r="D125" s="11">
        <v>496.67</v>
      </c>
      <c r="E125" s="11">
        <v>496.67</v>
      </c>
      <c r="F125" s="11">
        <v>496.67</v>
      </c>
      <c r="G125" s="11">
        <v>496.67</v>
      </c>
      <c r="H125" s="11">
        <v>496.67</v>
      </c>
      <c r="I125" s="11">
        <v>496.67</v>
      </c>
      <c r="J125" s="11">
        <v>496.67</v>
      </c>
      <c r="K125" s="11">
        <v>496.67</v>
      </c>
      <c r="L125" s="11">
        <v>496.67</v>
      </c>
      <c r="M125" s="11">
        <v>496.67</v>
      </c>
      <c r="N125" s="11">
        <v>486.25</v>
      </c>
      <c r="O125" s="12">
        <v>486.25</v>
      </c>
      <c r="P125" s="11">
        <f>SUM(D125:O125)</f>
        <v>5939.2</v>
      </c>
    </row>
    <row r="126" spans="3:16" ht="12.75">
      <c r="C126" s="9" t="str">
        <f>C108</f>
        <v>Treasury Fee</v>
      </c>
      <c r="D126" s="13">
        <v>250</v>
      </c>
      <c r="E126" s="13"/>
      <c r="F126" s="13"/>
      <c r="G126" s="13"/>
      <c r="H126" s="14"/>
      <c r="I126" s="14"/>
      <c r="J126" s="14"/>
      <c r="K126" s="14"/>
      <c r="L126" s="14"/>
      <c r="M126" s="15"/>
      <c r="N126" s="15"/>
      <c r="O126" s="16"/>
      <c r="P126" s="11">
        <f>SUM(D126:O126)</f>
        <v>250</v>
      </c>
    </row>
    <row r="127" spans="3:16" ht="13.5" thickBot="1">
      <c r="C127" s="9" t="str">
        <f>C109</f>
        <v>Intercept</v>
      </c>
      <c r="D127" s="11">
        <f>10416.67+24388.65</f>
        <v>34805.32</v>
      </c>
      <c r="E127" s="11">
        <f>10416.67+24388.65</f>
        <v>34805.32</v>
      </c>
      <c r="F127" s="11">
        <f>10416.67+24388.65</f>
        <v>34805.32</v>
      </c>
      <c r="G127" s="11">
        <f>10416.67+24388.65</f>
        <v>34805.32</v>
      </c>
      <c r="H127" s="11">
        <f>10416.67+24388.65</f>
        <v>34805.32</v>
      </c>
      <c r="I127" s="11">
        <f aca="true" t="shared" si="23" ref="I127:O127">10833.33+24076.15</f>
        <v>34909.48</v>
      </c>
      <c r="J127" s="11">
        <f t="shared" si="23"/>
        <v>34909.48</v>
      </c>
      <c r="K127" s="11">
        <f t="shared" si="23"/>
        <v>34909.48</v>
      </c>
      <c r="L127" s="11">
        <f t="shared" si="23"/>
        <v>34909.48</v>
      </c>
      <c r="M127" s="11">
        <f t="shared" si="23"/>
        <v>34909.48</v>
      </c>
      <c r="N127" s="11">
        <f t="shared" si="23"/>
        <v>34909.48</v>
      </c>
      <c r="O127" s="12">
        <f t="shared" si="23"/>
        <v>34909.48</v>
      </c>
      <c r="P127" s="11">
        <f>SUM(D127:O127)</f>
        <v>418392.95999999996</v>
      </c>
    </row>
    <row r="128" spans="3:16" ht="13.5" thickBot="1">
      <c r="C128" s="17" t="s">
        <v>50</v>
      </c>
      <c r="D128" s="18">
        <f aca="true" t="shared" si="24" ref="D128:P128">SUM(D125:D127)</f>
        <v>35551.99</v>
      </c>
      <c r="E128" s="18">
        <f t="shared" si="24"/>
        <v>35301.99</v>
      </c>
      <c r="F128" s="18">
        <f t="shared" si="24"/>
        <v>35301.99</v>
      </c>
      <c r="G128" s="18">
        <f t="shared" si="24"/>
        <v>35301.99</v>
      </c>
      <c r="H128" s="18">
        <f t="shared" si="24"/>
        <v>35301.99</v>
      </c>
      <c r="I128" s="18">
        <f t="shared" si="24"/>
        <v>35406.15</v>
      </c>
      <c r="J128" s="18">
        <f t="shared" si="24"/>
        <v>35406.15</v>
      </c>
      <c r="K128" s="18">
        <f t="shared" si="24"/>
        <v>35406.15</v>
      </c>
      <c r="L128" s="18">
        <f t="shared" si="24"/>
        <v>35406.15</v>
      </c>
      <c r="M128" s="18">
        <f t="shared" si="24"/>
        <v>35406.15</v>
      </c>
      <c r="N128" s="18">
        <f t="shared" si="24"/>
        <v>35395.73</v>
      </c>
      <c r="O128" s="19">
        <f t="shared" si="24"/>
        <v>35395.73</v>
      </c>
      <c r="P128" s="20">
        <f t="shared" si="24"/>
        <v>424582.16</v>
      </c>
    </row>
    <row r="129" spans="3:15" ht="12.75">
      <c r="C129" s="29"/>
      <c r="M129" s="3"/>
      <c r="O129" s="4"/>
    </row>
    <row r="130" spans="1:15" ht="15.75">
      <c r="A130" s="1">
        <f>A124+1</f>
        <v>14</v>
      </c>
      <c r="C130" s="10" t="s">
        <v>51</v>
      </c>
      <c r="D130" s="13"/>
      <c r="E130" s="13"/>
      <c r="F130" s="13"/>
      <c r="G130" s="13"/>
      <c r="H130" s="14"/>
      <c r="I130" s="14"/>
      <c r="J130" s="14"/>
      <c r="K130" s="14"/>
      <c r="L130" s="14"/>
      <c r="M130" s="15"/>
      <c r="N130" s="15"/>
      <c r="O130" s="16"/>
    </row>
    <row r="131" spans="3:16" ht="12.75">
      <c r="C131" s="9" t="str">
        <f>C113</f>
        <v>Debt Reserve</v>
      </c>
      <c r="D131" s="13">
        <v>1120.42</v>
      </c>
      <c r="E131" s="13">
        <v>1120.42</v>
      </c>
      <c r="F131" s="13">
        <v>1120.42</v>
      </c>
      <c r="G131" s="13">
        <v>1120.42</v>
      </c>
      <c r="H131" s="14">
        <v>1120.42</v>
      </c>
      <c r="I131" s="14">
        <v>1120.42</v>
      </c>
      <c r="J131" s="14">
        <v>1120.42</v>
      </c>
      <c r="K131" s="14">
        <v>1120.42</v>
      </c>
      <c r="L131" s="14">
        <v>1120.42</v>
      </c>
      <c r="M131" s="15">
        <v>1120.42</v>
      </c>
      <c r="N131" s="15">
        <v>1120.42</v>
      </c>
      <c r="O131" s="12">
        <v>1092.92</v>
      </c>
      <c r="P131" s="11">
        <f>SUM(D131:O131)</f>
        <v>13417.54</v>
      </c>
    </row>
    <row r="132" spans="3:16" ht="12.75">
      <c r="C132" s="9" t="str">
        <f>C114</f>
        <v>Treasury Fee</v>
      </c>
      <c r="D132" s="13">
        <v>250</v>
      </c>
      <c r="E132" s="13"/>
      <c r="F132" s="13"/>
      <c r="G132" s="13"/>
      <c r="H132" s="14"/>
      <c r="I132" s="14"/>
      <c r="J132" s="14"/>
      <c r="K132" s="14"/>
      <c r="L132" s="14"/>
      <c r="M132" s="15"/>
      <c r="N132" s="15"/>
      <c r="O132" s="16"/>
      <c r="P132" s="11">
        <f>SUM(D132:O132)</f>
        <v>250</v>
      </c>
    </row>
    <row r="133" spans="3:16" ht="13.5" thickBot="1">
      <c r="C133" s="9" t="str">
        <f>C115</f>
        <v>Intercept</v>
      </c>
      <c r="D133" s="11">
        <f>27500+54061.98</f>
        <v>81561.98000000001</v>
      </c>
      <c r="E133" s="11">
        <f>27500+54061.98</f>
        <v>81561.98000000001</v>
      </c>
      <c r="F133" s="11">
        <f>28333.33+53236.98</f>
        <v>81570.31</v>
      </c>
      <c r="G133" s="11">
        <f aca="true" t="shared" si="25" ref="G133:O133">28333.33+53236.98</f>
        <v>81570.31</v>
      </c>
      <c r="H133" s="11">
        <f t="shared" si="25"/>
        <v>81570.31</v>
      </c>
      <c r="I133" s="11">
        <f t="shared" si="25"/>
        <v>81570.31</v>
      </c>
      <c r="J133" s="11">
        <f t="shared" si="25"/>
        <v>81570.31</v>
      </c>
      <c r="K133" s="11">
        <f t="shared" si="25"/>
        <v>81570.31</v>
      </c>
      <c r="L133" s="11">
        <f t="shared" si="25"/>
        <v>81570.31</v>
      </c>
      <c r="M133" s="11">
        <f t="shared" si="25"/>
        <v>81570.31</v>
      </c>
      <c r="N133" s="11">
        <f t="shared" si="25"/>
        <v>81570.31</v>
      </c>
      <c r="O133" s="12">
        <f t="shared" si="25"/>
        <v>81570.31</v>
      </c>
      <c r="P133" s="11">
        <f>SUM(D133:O133)</f>
        <v>978827.0600000003</v>
      </c>
    </row>
    <row r="134" spans="3:16" ht="13.5" thickBot="1">
      <c r="C134" s="17" t="s">
        <v>52</v>
      </c>
      <c r="D134" s="18">
        <f aca="true" t="shared" si="26" ref="D134:P134">SUM(D131:D133)</f>
        <v>82932.40000000001</v>
      </c>
      <c r="E134" s="18">
        <f t="shared" si="26"/>
        <v>82682.40000000001</v>
      </c>
      <c r="F134" s="18">
        <f t="shared" si="26"/>
        <v>82690.73</v>
      </c>
      <c r="G134" s="18">
        <f t="shared" si="26"/>
        <v>82690.73</v>
      </c>
      <c r="H134" s="18">
        <f t="shared" si="26"/>
        <v>82690.73</v>
      </c>
      <c r="I134" s="18">
        <f t="shared" si="26"/>
        <v>82690.73</v>
      </c>
      <c r="J134" s="18">
        <f t="shared" si="26"/>
        <v>82690.73</v>
      </c>
      <c r="K134" s="18">
        <f t="shared" si="26"/>
        <v>82690.73</v>
      </c>
      <c r="L134" s="18">
        <f t="shared" si="26"/>
        <v>82690.73</v>
      </c>
      <c r="M134" s="18">
        <f t="shared" si="26"/>
        <v>82690.73</v>
      </c>
      <c r="N134" s="18">
        <f t="shared" si="26"/>
        <v>82690.73</v>
      </c>
      <c r="O134" s="19">
        <f t="shared" si="26"/>
        <v>82663.23</v>
      </c>
      <c r="P134" s="20">
        <f t="shared" si="26"/>
        <v>992494.6000000003</v>
      </c>
    </row>
    <row r="135" spans="3:15" ht="12.75">
      <c r="C135" s="29"/>
      <c r="M135" s="3"/>
      <c r="O135" s="4"/>
    </row>
    <row r="136" spans="1:15" ht="15.75">
      <c r="A136" s="1">
        <f>A130+1</f>
        <v>15</v>
      </c>
      <c r="C136" s="10" t="s">
        <v>53</v>
      </c>
      <c r="M136" s="3"/>
      <c r="O136" s="4"/>
    </row>
    <row r="137" spans="3:16" ht="12.75">
      <c r="C137" s="9" t="str">
        <f>C119</f>
        <v>Debt Reserve</v>
      </c>
      <c r="D137" s="11">
        <v>154.64</v>
      </c>
      <c r="E137" s="11">
        <v>154.64</v>
      </c>
      <c r="F137" s="11">
        <v>154.64</v>
      </c>
      <c r="G137" s="11">
        <v>154.64</v>
      </c>
      <c r="H137" s="11">
        <v>154.64</v>
      </c>
      <c r="I137" s="11">
        <v>154.64</v>
      </c>
      <c r="J137" s="11">
        <v>154.64</v>
      </c>
      <c r="K137" s="11">
        <v>154.64</v>
      </c>
      <c r="L137" s="11">
        <v>147.14</v>
      </c>
      <c r="M137" s="11">
        <v>147.14</v>
      </c>
      <c r="N137" s="11">
        <v>147.14</v>
      </c>
      <c r="O137" s="12">
        <v>147.14</v>
      </c>
      <c r="P137" s="11">
        <f>SUM(D137:O137)</f>
        <v>1825.6799999999994</v>
      </c>
    </row>
    <row r="138" spans="3:16" ht="12.75">
      <c r="C138" s="9" t="str">
        <f>C120</f>
        <v>Treasury Fee</v>
      </c>
      <c r="D138" s="13">
        <v>250</v>
      </c>
      <c r="E138" s="13"/>
      <c r="F138" s="13"/>
      <c r="G138" s="13"/>
      <c r="H138" s="14"/>
      <c r="I138" s="14"/>
      <c r="J138" s="14"/>
      <c r="K138" s="14"/>
      <c r="L138" s="14"/>
      <c r="M138" s="15"/>
      <c r="N138" s="15"/>
      <c r="O138" s="16"/>
      <c r="P138" s="11">
        <f>SUM(D138:O138)</f>
        <v>250</v>
      </c>
    </row>
    <row r="139" spans="3:16" ht="13.5" thickBot="1">
      <c r="C139" s="9" t="str">
        <f>C121</f>
        <v>Intercept</v>
      </c>
      <c r="D139" s="11">
        <f aca="true" t="shared" si="27" ref="D139:I139">7500+8130.42</f>
        <v>15630.42</v>
      </c>
      <c r="E139" s="11">
        <f t="shared" si="27"/>
        <v>15630.42</v>
      </c>
      <c r="F139" s="11">
        <f t="shared" si="27"/>
        <v>15630.42</v>
      </c>
      <c r="G139" s="11">
        <f t="shared" si="27"/>
        <v>15630.42</v>
      </c>
      <c r="H139" s="11">
        <f t="shared" si="27"/>
        <v>15630.42</v>
      </c>
      <c r="I139" s="11">
        <f t="shared" si="27"/>
        <v>15630.42</v>
      </c>
      <c r="J139" s="11">
        <f>7500+8130.42</f>
        <v>15630.42</v>
      </c>
      <c r="K139" s="11">
        <f>7500+8130.42</f>
        <v>15630.42</v>
      </c>
      <c r="L139" s="11">
        <f>7500+7867.92</f>
        <v>15367.92</v>
      </c>
      <c r="M139" s="11">
        <f>7500+7867.92</f>
        <v>15367.92</v>
      </c>
      <c r="N139" s="11">
        <f>7500+7867.92</f>
        <v>15367.92</v>
      </c>
      <c r="O139" s="12">
        <f>7500+7867.92</f>
        <v>15367.92</v>
      </c>
      <c r="P139" s="11">
        <f>SUM(D139:O139)</f>
        <v>186515.04000000004</v>
      </c>
    </row>
    <row r="140" spans="3:16" ht="13.5" thickBot="1">
      <c r="C140" s="17" t="s">
        <v>54</v>
      </c>
      <c r="D140" s="18">
        <f aca="true" t="shared" si="28" ref="D140:P140">SUM(D137:D139)</f>
        <v>16035.06</v>
      </c>
      <c r="E140" s="18">
        <f t="shared" si="28"/>
        <v>15785.06</v>
      </c>
      <c r="F140" s="18">
        <f t="shared" si="28"/>
        <v>15785.06</v>
      </c>
      <c r="G140" s="18">
        <f t="shared" si="28"/>
        <v>15785.06</v>
      </c>
      <c r="H140" s="18">
        <f t="shared" si="28"/>
        <v>15785.06</v>
      </c>
      <c r="I140" s="18">
        <f t="shared" si="28"/>
        <v>15785.06</v>
      </c>
      <c r="J140" s="18">
        <f t="shared" si="28"/>
        <v>15785.06</v>
      </c>
      <c r="K140" s="18">
        <f t="shared" si="28"/>
        <v>15785.06</v>
      </c>
      <c r="L140" s="18">
        <f t="shared" si="28"/>
        <v>15515.06</v>
      </c>
      <c r="M140" s="18">
        <f t="shared" si="28"/>
        <v>15515.06</v>
      </c>
      <c r="N140" s="18">
        <f t="shared" si="28"/>
        <v>15515.06</v>
      </c>
      <c r="O140" s="19">
        <f t="shared" si="28"/>
        <v>15515.06</v>
      </c>
      <c r="P140" s="20">
        <f t="shared" si="28"/>
        <v>188590.72000000003</v>
      </c>
    </row>
    <row r="141" spans="3:15" ht="12.75">
      <c r="C141" s="29"/>
      <c r="M141" s="3"/>
      <c r="O141" s="4"/>
    </row>
    <row r="142" spans="1:15" ht="15.75">
      <c r="A142" s="1">
        <f>A136+1</f>
        <v>16</v>
      </c>
      <c r="C142" s="10" t="s">
        <v>55</v>
      </c>
      <c r="M142" s="3"/>
      <c r="O142" s="4"/>
    </row>
    <row r="143" spans="3:16" ht="12.75">
      <c r="C143" s="9" t="str">
        <f>C125</f>
        <v>Debt Reserve</v>
      </c>
      <c r="D143" s="11">
        <v>610</v>
      </c>
      <c r="E143" s="11">
        <v>610</v>
      </c>
      <c r="F143" s="11">
        <v>597.5</v>
      </c>
      <c r="G143" s="11">
        <v>597.5</v>
      </c>
      <c r="H143" s="11">
        <v>597.5</v>
      </c>
      <c r="I143" s="11">
        <v>597.5</v>
      </c>
      <c r="J143" s="11">
        <v>597.5</v>
      </c>
      <c r="K143" s="11">
        <v>597.5</v>
      </c>
      <c r="L143" s="11">
        <v>597.5</v>
      </c>
      <c r="M143" s="11">
        <v>597.5</v>
      </c>
      <c r="N143" s="11">
        <v>597.5</v>
      </c>
      <c r="O143" s="12">
        <v>597.5</v>
      </c>
      <c r="P143" s="11">
        <f>SUM(D143:O143)</f>
        <v>7195</v>
      </c>
    </row>
    <row r="144" spans="3:16" ht="12.75">
      <c r="C144" s="9" t="str">
        <f>C126</f>
        <v>Treasury Fee</v>
      </c>
      <c r="D144" s="13">
        <v>250</v>
      </c>
      <c r="E144" s="13"/>
      <c r="F144" s="13"/>
      <c r="G144" s="13"/>
      <c r="H144" s="14"/>
      <c r="I144" s="14"/>
      <c r="J144" s="14"/>
      <c r="K144" s="14"/>
      <c r="L144" s="14"/>
      <c r="M144" s="15"/>
      <c r="N144" s="15"/>
      <c r="O144" s="16"/>
      <c r="P144" s="11">
        <f>SUM(D144:O144)</f>
        <v>250</v>
      </c>
    </row>
    <row r="145" spans="3:16" ht="13.5" thickBot="1">
      <c r="C145" s="9" t="str">
        <f>C127</f>
        <v>Intercept</v>
      </c>
      <c r="D145" s="11">
        <f>13333.33+30879.27</f>
        <v>44212.6</v>
      </c>
      <c r="E145" s="11">
        <f>13333.33+30879.27</f>
        <v>44212.6</v>
      </c>
      <c r="F145" s="11">
        <f>13333.33+30879.27</f>
        <v>44212.6</v>
      </c>
      <c r="G145" s="11">
        <f>13333.33+30879.27</f>
        <v>44212.6</v>
      </c>
      <c r="H145" s="11">
        <f>13333.33+30879.27</f>
        <v>44212.6</v>
      </c>
      <c r="I145" s="11">
        <f aca="true" t="shared" si="29" ref="I145:O145">13750+30445.94</f>
        <v>44195.94</v>
      </c>
      <c r="J145" s="11">
        <f t="shared" si="29"/>
        <v>44195.94</v>
      </c>
      <c r="K145" s="11">
        <f t="shared" si="29"/>
        <v>44195.94</v>
      </c>
      <c r="L145" s="11">
        <f t="shared" si="29"/>
        <v>44195.94</v>
      </c>
      <c r="M145" s="11">
        <f t="shared" si="29"/>
        <v>44195.94</v>
      </c>
      <c r="N145" s="11">
        <f t="shared" si="29"/>
        <v>44195.94</v>
      </c>
      <c r="O145" s="12">
        <f t="shared" si="29"/>
        <v>44195.94</v>
      </c>
      <c r="P145" s="11">
        <f>SUM(D145:O145)</f>
        <v>530434.5800000001</v>
      </c>
    </row>
    <row r="146" spans="3:16" ht="13.5" thickBot="1">
      <c r="C146" s="17" t="s">
        <v>56</v>
      </c>
      <c r="D146" s="18">
        <f aca="true" t="shared" si="30" ref="D146:P146">SUM(D143:D145)</f>
        <v>45072.6</v>
      </c>
      <c r="E146" s="18">
        <f t="shared" si="30"/>
        <v>44822.6</v>
      </c>
      <c r="F146" s="18">
        <f t="shared" si="30"/>
        <v>44810.1</v>
      </c>
      <c r="G146" s="18">
        <f t="shared" si="30"/>
        <v>44810.1</v>
      </c>
      <c r="H146" s="18">
        <f t="shared" si="30"/>
        <v>44810.1</v>
      </c>
      <c r="I146" s="18">
        <f t="shared" si="30"/>
        <v>44793.44</v>
      </c>
      <c r="J146" s="18">
        <f t="shared" si="30"/>
        <v>44793.44</v>
      </c>
      <c r="K146" s="18">
        <f t="shared" si="30"/>
        <v>44793.44</v>
      </c>
      <c r="L146" s="18">
        <f t="shared" si="30"/>
        <v>44793.44</v>
      </c>
      <c r="M146" s="18">
        <f t="shared" si="30"/>
        <v>44793.44</v>
      </c>
      <c r="N146" s="18">
        <f t="shared" si="30"/>
        <v>44793.44</v>
      </c>
      <c r="O146" s="19">
        <f t="shared" si="30"/>
        <v>44793.44</v>
      </c>
      <c r="P146" s="20">
        <f t="shared" si="30"/>
        <v>537879.5800000001</v>
      </c>
    </row>
    <row r="147" spans="3:15" ht="12.75">
      <c r="C147" s="29"/>
      <c r="M147" s="3"/>
      <c r="O147" s="4"/>
    </row>
    <row r="148" spans="1:15" ht="15.75">
      <c r="A148" s="1">
        <f>A142+1</f>
        <v>17</v>
      </c>
      <c r="C148" s="10" t="s">
        <v>57</v>
      </c>
      <c r="M148" s="3"/>
      <c r="O148" s="4"/>
    </row>
    <row r="149" spans="3:16" ht="12.75">
      <c r="C149" s="9" t="str">
        <f>C131</f>
        <v>Debt Reserve</v>
      </c>
      <c r="D149" s="11">
        <v>647.5</v>
      </c>
      <c r="E149" s="11">
        <v>647.5</v>
      </c>
      <c r="F149" s="11">
        <v>635</v>
      </c>
      <c r="G149" s="11">
        <v>635</v>
      </c>
      <c r="H149" s="11">
        <v>635</v>
      </c>
      <c r="I149" s="11">
        <v>635</v>
      </c>
      <c r="J149" s="11">
        <v>635</v>
      </c>
      <c r="K149" s="11">
        <v>635</v>
      </c>
      <c r="L149" s="11">
        <v>635</v>
      </c>
      <c r="M149" s="11">
        <v>635</v>
      </c>
      <c r="N149" s="11">
        <v>635</v>
      </c>
      <c r="O149" s="12">
        <v>635</v>
      </c>
      <c r="P149" s="11">
        <f>SUM(D149:O149)</f>
        <v>7645</v>
      </c>
    </row>
    <row r="150" spans="3:16" ht="12.75">
      <c r="C150" s="9" t="str">
        <f>C132</f>
        <v>Treasury Fee</v>
      </c>
      <c r="D150" s="13">
        <v>250</v>
      </c>
      <c r="E150" s="13"/>
      <c r="F150" s="13"/>
      <c r="G150" s="13"/>
      <c r="H150" s="14"/>
      <c r="I150" s="14"/>
      <c r="J150" s="14"/>
      <c r="K150" s="14"/>
      <c r="L150" s="14"/>
      <c r="M150" s="15"/>
      <c r="N150" s="15"/>
      <c r="O150" s="16"/>
      <c r="P150" s="11">
        <f>SUM(D150:O150)</f>
        <v>250</v>
      </c>
    </row>
    <row r="151" spans="3:16" ht="13.5" thickBot="1">
      <c r="C151" s="9" t="str">
        <f>C133</f>
        <v>Intercept</v>
      </c>
      <c r="D151" s="11">
        <f>12500+33684.38</f>
        <v>46184.38</v>
      </c>
      <c r="E151" s="11">
        <f>12916.67+33284.38</f>
        <v>46201.049999999996</v>
      </c>
      <c r="F151" s="11">
        <f aca="true" t="shared" si="31" ref="F151:O151">12916.67+33284.38</f>
        <v>46201.049999999996</v>
      </c>
      <c r="G151" s="11">
        <f t="shared" si="31"/>
        <v>46201.049999999996</v>
      </c>
      <c r="H151" s="11">
        <f t="shared" si="31"/>
        <v>46201.049999999996</v>
      </c>
      <c r="I151" s="11">
        <f t="shared" si="31"/>
        <v>46201.049999999996</v>
      </c>
      <c r="J151" s="11">
        <f t="shared" si="31"/>
        <v>46201.049999999996</v>
      </c>
      <c r="K151" s="11">
        <f t="shared" si="31"/>
        <v>46201.049999999996</v>
      </c>
      <c r="L151" s="11">
        <f t="shared" si="31"/>
        <v>46201.049999999996</v>
      </c>
      <c r="M151" s="11">
        <f t="shared" si="31"/>
        <v>46201.049999999996</v>
      </c>
      <c r="N151" s="11">
        <f t="shared" si="31"/>
        <v>46201.049999999996</v>
      </c>
      <c r="O151" s="12">
        <f t="shared" si="31"/>
        <v>46201.049999999996</v>
      </c>
      <c r="P151" s="11">
        <f>SUM(D151:O151)</f>
        <v>554395.9299999999</v>
      </c>
    </row>
    <row r="152" spans="3:16" ht="13.5" thickBot="1">
      <c r="C152" s="17" t="s">
        <v>58</v>
      </c>
      <c r="D152" s="18">
        <f aca="true" t="shared" si="32" ref="D152:P152">SUM(D149:D151)</f>
        <v>47081.88</v>
      </c>
      <c r="E152" s="18">
        <f t="shared" si="32"/>
        <v>46848.549999999996</v>
      </c>
      <c r="F152" s="18">
        <f t="shared" si="32"/>
        <v>46836.049999999996</v>
      </c>
      <c r="G152" s="18">
        <f t="shared" si="32"/>
        <v>46836.049999999996</v>
      </c>
      <c r="H152" s="18">
        <f t="shared" si="32"/>
        <v>46836.049999999996</v>
      </c>
      <c r="I152" s="18">
        <f t="shared" si="32"/>
        <v>46836.049999999996</v>
      </c>
      <c r="J152" s="18">
        <f t="shared" si="32"/>
        <v>46836.049999999996</v>
      </c>
      <c r="K152" s="18">
        <f t="shared" si="32"/>
        <v>46836.049999999996</v>
      </c>
      <c r="L152" s="18">
        <f t="shared" si="32"/>
        <v>46836.049999999996</v>
      </c>
      <c r="M152" s="18">
        <f t="shared" si="32"/>
        <v>46836.049999999996</v>
      </c>
      <c r="N152" s="18">
        <f t="shared" si="32"/>
        <v>46836.049999999996</v>
      </c>
      <c r="O152" s="19">
        <f t="shared" si="32"/>
        <v>46836.049999999996</v>
      </c>
      <c r="P152" s="20">
        <f t="shared" si="32"/>
        <v>562290.9299999999</v>
      </c>
    </row>
    <row r="153" spans="3:15" ht="12.75">
      <c r="C153" s="29"/>
      <c r="M153" s="3"/>
      <c r="O153" s="4"/>
    </row>
    <row r="154" spans="1:15" ht="15.75">
      <c r="A154" s="1">
        <f>A148+1</f>
        <v>18</v>
      </c>
      <c r="C154" s="10" t="s">
        <v>59</v>
      </c>
      <c r="M154" s="3"/>
      <c r="O154" s="4"/>
    </row>
    <row r="155" spans="3:16" ht="12.75">
      <c r="C155" s="9" t="str">
        <f>C137</f>
        <v>Debt Reserve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2">
        <v>0</v>
      </c>
      <c r="P155" s="11">
        <f>SUM(D155:O155)</f>
        <v>0</v>
      </c>
    </row>
    <row r="156" spans="3:16" ht="12.75">
      <c r="C156" s="9" t="str">
        <f>C138</f>
        <v>Treasury Fee</v>
      </c>
      <c r="D156" s="13">
        <v>250</v>
      </c>
      <c r="E156" s="13"/>
      <c r="F156" s="13"/>
      <c r="G156" s="13"/>
      <c r="H156" s="14"/>
      <c r="I156" s="14"/>
      <c r="J156" s="14"/>
      <c r="K156" s="14"/>
      <c r="L156" s="14"/>
      <c r="M156" s="15"/>
      <c r="N156" s="15"/>
      <c r="O156" s="16"/>
      <c r="P156" s="11">
        <f>SUM(D156:O156)</f>
        <v>250</v>
      </c>
    </row>
    <row r="157" spans="3:16" ht="13.5" thickBot="1">
      <c r="C157" s="9" t="str">
        <f>C139</f>
        <v>Intercept</v>
      </c>
      <c r="D157" s="11">
        <f aca="true" t="shared" si="33" ref="D157:M157">6250+30902.08</f>
        <v>37152.08</v>
      </c>
      <c r="E157" s="11">
        <f t="shared" si="33"/>
        <v>37152.08</v>
      </c>
      <c r="F157" s="11">
        <f t="shared" si="33"/>
        <v>37152.08</v>
      </c>
      <c r="G157" s="11">
        <f t="shared" si="33"/>
        <v>37152.08</v>
      </c>
      <c r="H157" s="11">
        <f t="shared" si="33"/>
        <v>37152.08</v>
      </c>
      <c r="I157" s="11">
        <f t="shared" si="33"/>
        <v>37152.08</v>
      </c>
      <c r="J157" s="11">
        <f t="shared" si="33"/>
        <v>37152.08</v>
      </c>
      <c r="K157" s="11">
        <f t="shared" si="33"/>
        <v>37152.08</v>
      </c>
      <c r="L157" s="11">
        <f t="shared" si="33"/>
        <v>37152.08</v>
      </c>
      <c r="M157" s="11">
        <f t="shared" si="33"/>
        <v>37152.08</v>
      </c>
      <c r="N157" s="11">
        <f>6666.67+30495.83</f>
        <v>37162.5</v>
      </c>
      <c r="O157" s="12">
        <f>6666.67+30495.83</f>
        <v>37162.5</v>
      </c>
      <c r="P157" s="11">
        <f>SUM(D157:O157)</f>
        <v>445845.8000000001</v>
      </c>
    </row>
    <row r="158" spans="3:16" ht="13.5" thickBot="1">
      <c r="C158" s="17" t="s">
        <v>60</v>
      </c>
      <c r="D158" s="18">
        <f aca="true" t="shared" si="34" ref="D158:P158">SUM(D155:D157)</f>
        <v>37402.08</v>
      </c>
      <c r="E158" s="18">
        <f t="shared" si="34"/>
        <v>37152.08</v>
      </c>
      <c r="F158" s="18">
        <f t="shared" si="34"/>
        <v>37152.08</v>
      </c>
      <c r="G158" s="18">
        <f t="shared" si="34"/>
        <v>37152.08</v>
      </c>
      <c r="H158" s="18">
        <f t="shared" si="34"/>
        <v>37152.08</v>
      </c>
      <c r="I158" s="18">
        <f t="shared" si="34"/>
        <v>37152.08</v>
      </c>
      <c r="J158" s="18">
        <f t="shared" si="34"/>
        <v>37152.08</v>
      </c>
      <c r="K158" s="18">
        <f t="shared" si="34"/>
        <v>37152.08</v>
      </c>
      <c r="L158" s="18">
        <f t="shared" si="34"/>
        <v>37152.08</v>
      </c>
      <c r="M158" s="18">
        <f t="shared" si="34"/>
        <v>37152.08</v>
      </c>
      <c r="N158" s="18">
        <f t="shared" si="34"/>
        <v>37162.5</v>
      </c>
      <c r="O158" s="19">
        <f t="shared" si="34"/>
        <v>37162.5</v>
      </c>
      <c r="P158" s="20">
        <f t="shared" si="34"/>
        <v>446095.8000000001</v>
      </c>
    </row>
    <row r="159" spans="3:15" ht="12.75">
      <c r="C159" s="29"/>
      <c r="M159" s="3"/>
      <c r="O159" s="4"/>
    </row>
    <row r="160" spans="2:15" ht="21">
      <c r="B160" s="26" t="s">
        <v>20</v>
      </c>
      <c r="C160" s="27" t="s">
        <v>61</v>
      </c>
      <c r="M160" s="3"/>
      <c r="O160" s="4"/>
    </row>
    <row r="161" spans="3:15" ht="12.75">
      <c r="C161" s="9" t="str">
        <f>C143</f>
        <v>Debt Reserve</v>
      </c>
      <c r="M161" s="3"/>
      <c r="O161" s="4"/>
    </row>
    <row r="162" spans="3:15" ht="12.75">
      <c r="C162" s="9" t="str">
        <f>C144</f>
        <v>Treasury Fee</v>
      </c>
      <c r="M162" s="3"/>
      <c r="O162" s="4"/>
    </row>
    <row r="163" spans="3:15" ht="13.5" thickBot="1">
      <c r="C163" s="9" t="str">
        <f>C145</f>
        <v>Intercept</v>
      </c>
      <c r="M163" s="3"/>
      <c r="O163" s="4"/>
    </row>
    <row r="164" spans="3:15" ht="13.5" thickBot="1">
      <c r="C164" s="17" t="s">
        <v>62</v>
      </c>
      <c r="M164" s="3"/>
      <c r="O164" s="4"/>
    </row>
    <row r="165" spans="3:15" ht="12.75">
      <c r="C165" s="29"/>
      <c r="M165" s="3"/>
      <c r="O165" s="4"/>
    </row>
    <row r="166" spans="1:15" ht="21">
      <c r="A166" s="1">
        <f>+A154+1</f>
        <v>19</v>
      </c>
      <c r="B166" s="21" t="s">
        <v>8</v>
      </c>
      <c r="C166" s="22" t="s">
        <v>63</v>
      </c>
      <c r="M166" s="3"/>
      <c r="O166" s="4"/>
    </row>
    <row r="167" spans="3:16" ht="12.75">
      <c r="C167" s="9" t="str">
        <f>C149</f>
        <v>Debt Reserve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2">
        <v>0</v>
      </c>
      <c r="P167" s="11">
        <f>SUM(D167:O167)</f>
        <v>0</v>
      </c>
    </row>
    <row r="168" spans="3:16" ht="12.75">
      <c r="C168" s="9" t="str">
        <f>C150</f>
        <v>Treasury Fee</v>
      </c>
      <c r="D168" s="13">
        <v>250</v>
      </c>
      <c r="E168" s="13"/>
      <c r="F168" s="13"/>
      <c r="G168" s="13"/>
      <c r="H168" s="14"/>
      <c r="I168" s="14"/>
      <c r="J168" s="14"/>
      <c r="K168" s="14"/>
      <c r="L168" s="14"/>
      <c r="M168" s="15"/>
      <c r="N168" s="15"/>
      <c r="O168" s="16"/>
      <c r="P168" s="11">
        <f>SUM(D168:O168)</f>
        <v>250</v>
      </c>
    </row>
    <row r="169" spans="3:16" ht="13.5" thickBot="1">
      <c r="C169" s="9" t="str">
        <f>C151</f>
        <v>Intercept</v>
      </c>
      <c r="D169" s="11">
        <f aca="true" t="shared" si="35" ref="D169:L169">6250+34387.5</f>
        <v>40637.5</v>
      </c>
      <c r="E169" s="11">
        <f t="shared" si="35"/>
        <v>40637.5</v>
      </c>
      <c r="F169" s="11">
        <f t="shared" si="35"/>
        <v>40637.5</v>
      </c>
      <c r="G169" s="11">
        <f t="shared" si="35"/>
        <v>40637.5</v>
      </c>
      <c r="H169" s="11">
        <f t="shared" si="35"/>
        <v>40637.5</v>
      </c>
      <c r="I169" s="11">
        <f t="shared" si="35"/>
        <v>40637.5</v>
      </c>
      <c r="J169" s="11">
        <f t="shared" si="35"/>
        <v>40637.5</v>
      </c>
      <c r="K169" s="11">
        <f t="shared" si="35"/>
        <v>40637.5</v>
      </c>
      <c r="L169" s="11">
        <f t="shared" si="35"/>
        <v>40637.5</v>
      </c>
      <c r="M169" s="11">
        <f>6666.67+33950</f>
        <v>40616.67</v>
      </c>
      <c r="N169" s="11">
        <f>6666.67+33950</f>
        <v>40616.67</v>
      </c>
      <c r="O169" s="12">
        <f>6666.67+33950</f>
        <v>40616.67</v>
      </c>
      <c r="P169" s="11">
        <f>SUM(D169:O169)</f>
        <v>487587.50999999995</v>
      </c>
    </row>
    <row r="170" spans="3:16" ht="13.5" thickBot="1">
      <c r="C170" s="17" t="s">
        <v>64</v>
      </c>
      <c r="D170" s="18">
        <f aca="true" t="shared" si="36" ref="D170:P170">SUM(D167:D169)</f>
        <v>40887.5</v>
      </c>
      <c r="E170" s="18">
        <f t="shared" si="36"/>
        <v>40637.5</v>
      </c>
      <c r="F170" s="18">
        <f t="shared" si="36"/>
        <v>40637.5</v>
      </c>
      <c r="G170" s="18">
        <f t="shared" si="36"/>
        <v>40637.5</v>
      </c>
      <c r="H170" s="18">
        <f t="shared" si="36"/>
        <v>40637.5</v>
      </c>
      <c r="I170" s="18">
        <f t="shared" si="36"/>
        <v>40637.5</v>
      </c>
      <c r="J170" s="18">
        <f t="shared" si="36"/>
        <v>40637.5</v>
      </c>
      <c r="K170" s="18">
        <f t="shared" si="36"/>
        <v>40637.5</v>
      </c>
      <c r="L170" s="18">
        <f t="shared" si="36"/>
        <v>40637.5</v>
      </c>
      <c r="M170" s="18">
        <f t="shared" si="36"/>
        <v>40616.67</v>
      </c>
      <c r="N170" s="18">
        <f t="shared" si="36"/>
        <v>40616.67</v>
      </c>
      <c r="O170" s="19">
        <f t="shared" si="36"/>
        <v>40616.67</v>
      </c>
      <c r="P170" s="20">
        <f t="shared" si="36"/>
        <v>487837.50999999995</v>
      </c>
    </row>
    <row r="171" spans="3:15" ht="12.75">
      <c r="C171" s="29"/>
      <c r="M171" s="3"/>
      <c r="O171" s="4"/>
    </row>
    <row r="172" spans="1:15" ht="15.75">
      <c r="A172" s="1">
        <f>A166+1</f>
        <v>20</v>
      </c>
      <c r="C172" s="10" t="s">
        <v>65</v>
      </c>
      <c r="M172" s="3"/>
      <c r="O172" s="4"/>
    </row>
    <row r="173" spans="3:16" ht="12.75">
      <c r="C173" s="9" t="str">
        <f>C155</f>
        <v>Debt Reserve</v>
      </c>
      <c r="D173" s="11">
        <v>643.75</v>
      </c>
      <c r="E173" s="11">
        <v>643.75</v>
      </c>
      <c r="F173" s="11">
        <v>632.5</v>
      </c>
      <c r="G173" s="11">
        <v>632.5</v>
      </c>
      <c r="H173" s="11">
        <v>632.5</v>
      </c>
      <c r="I173" s="11">
        <v>632.5</v>
      </c>
      <c r="J173" s="11">
        <v>632.5</v>
      </c>
      <c r="K173" s="11">
        <v>632.5</v>
      </c>
      <c r="L173" s="11">
        <v>632.5</v>
      </c>
      <c r="M173" s="11">
        <v>632.5</v>
      </c>
      <c r="N173" s="11">
        <v>632.5</v>
      </c>
      <c r="O173" s="12">
        <v>632.5</v>
      </c>
      <c r="P173" s="11">
        <f>SUM(D173:O173)</f>
        <v>7612.5</v>
      </c>
    </row>
    <row r="174" spans="3:16" ht="12.75">
      <c r="C174" s="9" t="str">
        <f>C156</f>
        <v>Treasury Fee</v>
      </c>
      <c r="D174" s="13">
        <v>250</v>
      </c>
      <c r="E174" s="13"/>
      <c r="F174" s="13"/>
      <c r="G174" s="13"/>
      <c r="H174" s="14"/>
      <c r="I174" s="14"/>
      <c r="J174" s="14"/>
      <c r="K174" s="14"/>
      <c r="L174" s="14"/>
      <c r="M174" s="15"/>
      <c r="N174" s="15"/>
      <c r="O174" s="16"/>
      <c r="P174" s="11">
        <f>SUM(D174:O174)</f>
        <v>250</v>
      </c>
    </row>
    <row r="175" spans="3:16" ht="13.5" thickBot="1">
      <c r="C175" s="9" t="str">
        <f>C157</f>
        <v>Intercept</v>
      </c>
      <c r="D175" s="11">
        <f>11250+29925.21</f>
        <v>41175.21</v>
      </c>
      <c r="E175" s="11">
        <f>11250+29925.21</f>
        <v>41175.21</v>
      </c>
      <c r="F175" s="11">
        <f>11250+29925.21</f>
        <v>41175.21</v>
      </c>
      <c r="G175" s="11">
        <f>11250+29925.21</f>
        <v>41175.21</v>
      </c>
      <c r="H175" s="11">
        <f>11250+29925.21</f>
        <v>41175.21</v>
      </c>
      <c r="I175" s="11">
        <f aca="true" t="shared" si="37" ref="I175:O175">11666.67+29475.21</f>
        <v>41141.88</v>
      </c>
      <c r="J175" s="11">
        <f t="shared" si="37"/>
        <v>41141.88</v>
      </c>
      <c r="K175" s="11">
        <f t="shared" si="37"/>
        <v>41141.88</v>
      </c>
      <c r="L175" s="11">
        <f t="shared" si="37"/>
        <v>41141.88</v>
      </c>
      <c r="M175" s="11">
        <f t="shared" si="37"/>
        <v>41141.88</v>
      </c>
      <c r="N175" s="11">
        <f t="shared" si="37"/>
        <v>41141.88</v>
      </c>
      <c r="O175" s="12">
        <f t="shared" si="37"/>
        <v>41141.88</v>
      </c>
      <c r="P175" s="11">
        <f>SUM(D175:O175)</f>
        <v>493869.21</v>
      </c>
    </row>
    <row r="176" spans="3:16" ht="13.5" thickBot="1">
      <c r="C176" s="17" t="s">
        <v>66</v>
      </c>
      <c r="D176" s="18">
        <f aca="true" t="shared" si="38" ref="D176:P176">SUM(D173:D175)</f>
        <v>42068.96</v>
      </c>
      <c r="E176" s="18">
        <f t="shared" si="38"/>
        <v>41818.96</v>
      </c>
      <c r="F176" s="18">
        <f t="shared" si="38"/>
        <v>41807.71</v>
      </c>
      <c r="G176" s="18">
        <f t="shared" si="38"/>
        <v>41807.71</v>
      </c>
      <c r="H176" s="18">
        <f t="shared" si="38"/>
        <v>41807.71</v>
      </c>
      <c r="I176" s="18">
        <f t="shared" si="38"/>
        <v>41774.38</v>
      </c>
      <c r="J176" s="18">
        <f t="shared" si="38"/>
        <v>41774.38</v>
      </c>
      <c r="K176" s="18">
        <f t="shared" si="38"/>
        <v>41774.38</v>
      </c>
      <c r="L176" s="18">
        <f t="shared" si="38"/>
        <v>41774.38</v>
      </c>
      <c r="M176" s="18">
        <f t="shared" si="38"/>
        <v>41774.38</v>
      </c>
      <c r="N176" s="18">
        <f t="shared" si="38"/>
        <v>41774.38</v>
      </c>
      <c r="O176" s="19">
        <f t="shared" si="38"/>
        <v>41774.38</v>
      </c>
      <c r="P176" s="20">
        <f t="shared" si="38"/>
        <v>501731.71</v>
      </c>
    </row>
    <row r="177" spans="3:15" ht="12.75">
      <c r="C177" s="29"/>
      <c r="M177" s="3"/>
      <c r="O177" s="4"/>
    </row>
    <row r="178" spans="1:15" ht="15.75">
      <c r="A178" s="1">
        <f>A172+1</f>
        <v>21</v>
      </c>
      <c r="C178" s="10" t="s">
        <v>67</v>
      </c>
      <c r="M178" s="3"/>
      <c r="O178" s="4"/>
    </row>
    <row r="179" spans="3:16" ht="12.75">
      <c r="C179" s="9" t="str">
        <f>C161</f>
        <v>Debt Reserve</v>
      </c>
      <c r="D179" s="25">
        <v>0</v>
      </c>
      <c r="E179" s="25">
        <f>955.42+955.42</f>
        <v>1910.84</v>
      </c>
      <c r="F179" s="11">
        <v>937.5</v>
      </c>
      <c r="G179" s="11">
        <v>937.5</v>
      </c>
      <c r="H179" s="11">
        <v>937.5</v>
      </c>
      <c r="I179" s="11">
        <v>937.5</v>
      </c>
      <c r="J179" s="11">
        <v>937.5</v>
      </c>
      <c r="K179" s="11">
        <v>937.5</v>
      </c>
      <c r="L179" s="11">
        <v>937.5</v>
      </c>
      <c r="M179" s="11">
        <v>937.5</v>
      </c>
      <c r="N179" s="11">
        <v>937.5</v>
      </c>
      <c r="O179" s="12">
        <v>937.5</v>
      </c>
      <c r="P179" s="11">
        <f>SUM(D179:O179)</f>
        <v>11285.84</v>
      </c>
    </row>
    <row r="180" spans="3:16" ht="12.75">
      <c r="C180" s="9" t="str">
        <f>C162</f>
        <v>Treasury Fee</v>
      </c>
      <c r="D180" s="11">
        <v>250</v>
      </c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2"/>
      <c r="P180" s="11">
        <f>SUM(D180:O180)</f>
        <v>250</v>
      </c>
    </row>
    <row r="181" spans="3:16" ht="13.5" thickBot="1">
      <c r="C181" s="9" t="str">
        <f>C163</f>
        <v>Intercept</v>
      </c>
      <c r="D181" s="25">
        <v>0</v>
      </c>
      <c r="E181" s="25">
        <f>18750+40979.58+18750+40979.58</f>
        <v>119459.16</v>
      </c>
      <c r="F181" s="11">
        <f aca="true" t="shared" si="39" ref="F181:N181">18750+40979.58</f>
        <v>59729.58</v>
      </c>
      <c r="G181" s="11">
        <f t="shared" si="39"/>
        <v>59729.58</v>
      </c>
      <c r="H181" s="11">
        <f t="shared" si="39"/>
        <v>59729.58</v>
      </c>
      <c r="I181" s="11">
        <f t="shared" si="39"/>
        <v>59729.58</v>
      </c>
      <c r="J181" s="11">
        <f t="shared" si="39"/>
        <v>59729.58</v>
      </c>
      <c r="K181" s="11">
        <f t="shared" si="39"/>
        <v>59729.58</v>
      </c>
      <c r="L181" s="11">
        <f t="shared" si="39"/>
        <v>59729.58</v>
      </c>
      <c r="M181" s="11">
        <f t="shared" si="39"/>
        <v>59729.58</v>
      </c>
      <c r="N181" s="11">
        <f t="shared" si="39"/>
        <v>59729.58</v>
      </c>
      <c r="O181" s="12">
        <f>19583.33+40229.58</f>
        <v>59812.91</v>
      </c>
      <c r="P181" s="11">
        <f>SUM(D181:O181)</f>
        <v>716838.29</v>
      </c>
    </row>
    <row r="182" spans="3:16" ht="13.5" thickBot="1">
      <c r="C182" s="17" t="s">
        <v>68</v>
      </c>
      <c r="D182" s="18">
        <f aca="true" t="shared" si="40" ref="D182:P182">SUM(D179:D181)</f>
        <v>250</v>
      </c>
      <c r="E182" s="18">
        <f t="shared" si="40"/>
        <v>121370</v>
      </c>
      <c r="F182" s="18">
        <f t="shared" si="40"/>
        <v>60667.08</v>
      </c>
      <c r="G182" s="18">
        <f t="shared" si="40"/>
        <v>60667.08</v>
      </c>
      <c r="H182" s="18">
        <f t="shared" si="40"/>
        <v>60667.08</v>
      </c>
      <c r="I182" s="18">
        <f t="shared" si="40"/>
        <v>60667.08</v>
      </c>
      <c r="J182" s="18">
        <f t="shared" si="40"/>
        <v>60667.08</v>
      </c>
      <c r="K182" s="18">
        <f t="shared" si="40"/>
        <v>60667.08</v>
      </c>
      <c r="L182" s="18">
        <f t="shared" si="40"/>
        <v>60667.08</v>
      </c>
      <c r="M182" s="18">
        <f t="shared" si="40"/>
        <v>60667.08</v>
      </c>
      <c r="N182" s="18">
        <f t="shared" si="40"/>
        <v>60667.08</v>
      </c>
      <c r="O182" s="19">
        <f t="shared" si="40"/>
        <v>60750.41</v>
      </c>
      <c r="P182" s="20">
        <f t="shared" si="40"/>
        <v>728374.13</v>
      </c>
    </row>
    <row r="183" spans="3:15" ht="12.75">
      <c r="C183" s="29"/>
      <c r="M183" s="3"/>
      <c r="O183" s="4"/>
    </row>
    <row r="184" spans="1:15" ht="15.75">
      <c r="A184" s="1">
        <f>A178+1</f>
        <v>22</v>
      </c>
      <c r="C184" s="10" t="s">
        <v>69</v>
      </c>
      <c r="M184" s="3"/>
      <c r="O184" s="4"/>
    </row>
    <row r="185" spans="3:16" ht="12.75">
      <c r="C185" s="9" t="str">
        <f>C167</f>
        <v>Debt Reserve</v>
      </c>
      <c r="D185" s="11">
        <v>1216.82</v>
      </c>
      <c r="E185" s="11">
        <v>1216.82</v>
      </c>
      <c r="F185" s="11">
        <v>1216.82</v>
      </c>
      <c r="G185" s="11">
        <v>1216.82</v>
      </c>
      <c r="H185" s="11">
        <v>1216.82</v>
      </c>
      <c r="I185" s="11">
        <v>1216.82</v>
      </c>
      <c r="J185" s="11">
        <v>1216.82</v>
      </c>
      <c r="K185" s="11">
        <v>1216.82</v>
      </c>
      <c r="L185" s="11">
        <v>1216.82</v>
      </c>
      <c r="M185" s="11">
        <v>1216.82</v>
      </c>
      <c r="N185" s="11">
        <v>1216.82</v>
      </c>
      <c r="O185" s="12">
        <v>1176.82</v>
      </c>
      <c r="P185" s="11">
        <f>SUM(D185:O185)</f>
        <v>14561.839999999998</v>
      </c>
    </row>
    <row r="186" spans="3:16" ht="12.75">
      <c r="C186" s="9" t="str">
        <f>C168</f>
        <v>Treasury Fee</v>
      </c>
      <c r="D186" s="11">
        <v>250</v>
      </c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2"/>
      <c r="P186" s="11">
        <f>SUM(D186:O186)</f>
        <v>250</v>
      </c>
    </row>
    <row r="187" spans="3:16" ht="13.5" thickBot="1">
      <c r="C187" s="9" t="str">
        <f>C169</f>
        <v>Intercept</v>
      </c>
      <c r="D187" s="11">
        <f aca="true" t="shared" si="41" ref="D187:N187">38750+59426.04</f>
        <v>98176.04000000001</v>
      </c>
      <c r="E187" s="11">
        <f t="shared" si="41"/>
        <v>98176.04000000001</v>
      </c>
      <c r="F187" s="11">
        <f t="shared" si="41"/>
        <v>98176.04000000001</v>
      </c>
      <c r="G187" s="11">
        <f t="shared" si="41"/>
        <v>98176.04000000001</v>
      </c>
      <c r="H187" s="11">
        <f t="shared" si="41"/>
        <v>98176.04000000001</v>
      </c>
      <c r="I187" s="11">
        <f t="shared" si="41"/>
        <v>98176.04000000001</v>
      </c>
      <c r="J187" s="11">
        <f t="shared" si="41"/>
        <v>98176.04000000001</v>
      </c>
      <c r="K187" s="11">
        <f t="shared" si="41"/>
        <v>98176.04000000001</v>
      </c>
      <c r="L187" s="11">
        <f t="shared" si="41"/>
        <v>98176.04000000001</v>
      </c>
      <c r="M187" s="11">
        <f t="shared" si="41"/>
        <v>98176.04000000001</v>
      </c>
      <c r="N187" s="11">
        <f t="shared" si="41"/>
        <v>98176.04000000001</v>
      </c>
      <c r="O187" s="12">
        <f>40000+57876.04</f>
        <v>97876.04000000001</v>
      </c>
      <c r="P187" s="11">
        <f>SUM(D187:O187)</f>
        <v>1177812.4800000002</v>
      </c>
    </row>
    <row r="188" spans="3:16" ht="13.5" thickBot="1">
      <c r="C188" s="17" t="s">
        <v>70</v>
      </c>
      <c r="D188" s="18">
        <f aca="true" t="shared" si="42" ref="D188:P188">SUM(D185:D187)</f>
        <v>99642.86000000002</v>
      </c>
      <c r="E188" s="18">
        <f t="shared" si="42"/>
        <v>99392.86000000002</v>
      </c>
      <c r="F188" s="18">
        <f t="shared" si="42"/>
        <v>99392.86000000002</v>
      </c>
      <c r="G188" s="18">
        <f t="shared" si="42"/>
        <v>99392.86000000002</v>
      </c>
      <c r="H188" s="18">
        <f t="shared" si="42"/>
        <v>99392.86000000002</v>
      </c>
      <c r="I188" s="18">
        <f t="shared" si="42"/>
        <v>99392.86000000002</v>
      </c>
      <c r="J188" s="18">
        <f t="shared" si="42"/>
        <v>99392.86000000002</v>
      </c>
      <c r="K188" s="18">
        <f t="shared" si="42"/>
        <v>99392.86000000002</v>
      </c>
      <c r="L188" s="18">
        <f t="shared" si="42"/>
        <v>99392.86000000002</v>
      </c>
      <c r="M188" s="18">
        <f t="shared" si="42"/>
        <v>99392.86000000002</v>
      </c>
      <c r="N188" s="18">
        <f t="shared" si="42"/>
        <v>99392.86000000002</v>
      </c>
      <c r="O188" s="19">
        <f t="shared" si="42"/>
        <v>99052.86000000002</v>
      </c>
      <c r="P188" s="20">
        <f t="shared" si="42"/>
        <v>1192624.3200000003</v>
      </c>
    </row>
    <row r="189" spans="3:15" ht="12.75">
      <c r="C189" s="29"/>
      <c r="M189" s="3"/>
      <c r="O189" s="4"/>
    </row>
    <row r="190" spans="1:15" ht="15.75">
      <c r="A190" s="1">
        <f>A184+1</f>
        <v>23</v>
      </c>
      <c r="C190" s="10" t="s">
        <v>71</v>
      </c>
      <c r="M190" s="3"/>
      <c r="O190" s="4"/>
    </row>
    <row r="191" spans="3:16" ht="12.75">
      <c r="C191" s="9" t="str">
        <f>C173</f>
        <v>Debt Reserve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2">
        <v>0</v>
      </c>
      <c r="P191" s="11">
        <f>SUM(D191:O191)</f>
        <v>0</v>
      </c>
    </row>
    <row r="192" spans="3:16" ht="12.75">
      <c r="C192" s="9" t="str">
        <f>C174</f>
        <v>Treasury Fee</v>
      </c>
      <c r="D192" s="11">
        <v>250</v>
      </c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2"/>
      <c r="P192" s="11">
        <f>SUM(D192:O192)</f>
        <v>250</v>
      </c>
    </row>
    <row r="193" spans="3:16" ht="13.5" thickBot="1">
      <c r="C193" s="9" t="str">
        <f>C175</f>
        <v>Intercept</v>
      </c>
      <c r="D193" s="11">
        <f>9166.67+40297.4</f>
        <v>49464.07</v>
      </c>
      <c r="E193" s="11">
        <f>9166.67+40297.4</f>
        <v>49464.07</v>
      </c>
      <c r="F193" s="11">
        <f>9166.67+40297.4</f>
        <v>49464.07</v>
      </c>
      <c r="G193" s="11">
        <f>9166.67+40297.4</f>
        <v>49464.07</v>
      </c>
      <c r="H193" s="11">
        <f>9166.67+40297.4</f>
        <v>49464.07</v>
      </c>
      <c r="I193" s="11">
        <f aca="true" t="shared" si="43" ref="I193:O193">10000+39735.94</f>
        <v>49735.94</v>
      </c>
      <c r="J193" s="11">
        <f t="shared" si="43"/>
        <v>49735.94</v>
      </c>
      <c r="K193" s="11">
        <f t="shared" si="43"/>
        <v>49735.94</v>
      </c>
      <c r="L193" s="11">
        <f t="shared" si="43"/>
        <v>49735.94</v>
      </c>
      <c r="M193" s="11">
        <f t="shared" si="43"/>
        <v>49735.94</v>
      </c>
      <c r="N193" s="11">
        <f t="shared" si="43"/>
        <v>49735.94</v>
      </c>
      <c r="O193" s="12">
        <f t="shared" si="43"/>
        <v>49735.94</v>
      </c>
      <c r="P193" s="11">
        <f>SUM(D193:O193)</f>
        <v>595471.9299999999</v>
      </c>
    </row>
    <row r="194" spans="3:16" ht="13.5" thickBot="1">
      <c r="C194" s="17" t="s">
        <v>72</v>
      </c>
      <c r="D194" s="18">
        <f aca="true" t="shared" si="44" ref="D194:P194">SUM(D191:D193)</f>
        <v>49714.07</v>
      </c>
      <c r="E194" s="18">
        <f t="shared" si="44"/>
        <v>49464.07</v>
      </c>
      <c r="F194" s="18">
        <f t="shared" si="44"/>
        <v>49464.07</v>
      </c>
      <c r="G194" s="18">
        <f t="shared" si="44"/>
        <v>49464.07</v>
      </c>
      <c r="H194" s="18">
        <f t="shared" si="44"/>
        <v>49464.07</v>
      </c>
      <c r="I194" s="18">
        <f t="shared" si="44"/>
        <v>49735.94</v>
      </c>
      <c r="J194" s="18">
        <f t="shared" si="44"/>
        <v>49735.94</v>
      </c>
      <c r="K194" s="18">
        <f t="shared" si="44"/>
        <v>49735.94</v>
      </c>
      <c r="L194" s="18">
        <f t="shared" si="44"/>
        <v>49735.94</v>
      </c>
      <c r="M194" s="18">
        <f t="shared" si="44"/>
        <v>49735.94</v>
      </c>
      <c r="N194" s="18">
        <f t="shared" si="44"/>
        <v>49735.94</v>
      </c>
      <c r="O194" s="19">
        <f t="shared" si="44"/>
        <v>49735.94</v>
      </c>
      <c r="P194" s="20">
        <f t="shared" si="44"/>
        <v>595721.9299999999</v>
      </c>
    </row>
    <row r="195" spans="3:15" ht="12.75">
      <c r="C195" s="29"/>
      <c r="M195" s="3"/>
      <c r="O195" s="4"/>
    </row>
    <row r="196" spans="1:15" ht="15.75">
      <c r="A196" s="1">
        <f>A190+1</f>
        <v>24</v>
      </c>
      <c r="C196" s="10" t="s">
        <v>73</v>
      </c>
      <c r="M196" s="3"/>
      <c r="O196" s="4"/>
    </row>
    <row r="197" spans="3:16" ht="12.75">
      <c r="C197" s="9" t="str">
        <f>C179</f>
        <v>Debt Reserve</v>
      </c>
      <c r="D197" s="11">
        <v>797.92</v>
      </c>
      <c r="E197" s="11">
        <v>797.92</v>
      </c>
      <c r="F197" s="11">
        <v>797.92</v>
      </c>
      <c r="G197" s="11">
        <v>797.92</v>
      </c>
      <c r="H197" s="11">
        <v>784.17</v>
      </c>
      <c r="I197" s="11">
        <v>784.17</v>
      </c>
      <c r="J197" s="11">
        <v>784.17</v>
      </c>
      <c r="K197" s="11">
        <v>784.17</v>
      </c>
      <c r="L197" s="11">
        <v>784.17</v>
      </c>
      <c r="M197" s="11">
        <v>784.17</v>
      </c>
      <c r="N197" s="11">
        <v>784.17</v>
      </c>
      <c r="O197" s="12">
        <v>784.17</v>
      </c>
      <c r="P197" s="11">
        <f>SUM(D197:O197)</f>
        <v>9465.039999999999</v>
      </c>
    </row>
    <row r="198" spans="3:16" ht="12.75">
      <c r="C198" s="9" t="str">
        <f>C180</f>
        <v>Treasury Fee</v>
      </c>
      <c r="D198" s="11">
        <v>250</v>
      </c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2"/>
      <c r="P198" s="11">
        <f>SUM(D198:O198)</f>
        <v>250</v>
      </c>
    </row>
    <row r="199" spans="3:16" ht="13.5" thickBot="1">
      <c r="C199" s="9" t="str">
        <f>C181</f>
        <v>Intercept</v>
      </c>
      <c r="D199" s="11">
        <f>13750+34567.71</f>
        <v>48317.71</v>
      </c>
      <c r="E199" s="11">
        <f>13750+34567.71</f>
        <v>48317.71</v>
      </c>
      <c r="F199" s="11">
        <f>13750+34567.71</f>
        <v>48317.71</v>
      </c>
      <c r="G199" s="11">
        <f>14583.33+34017.71</f>
        <v>48601.04</v>
      </c>
      <c r="H199" s="11">
        <f aca="true" t="shared" si="45" ref="H199:O199">14583.33+34017.71</f>
        <v>48601.04</v>
      </c>
      <c r="I199" s="11">
        <f t="shared" si="45"/>
        <v>48601.04</v>
      </c>
      <c r="J199" s="11">
        <f t="shared" si="45"/>
        <v>48601.04</v>
      </c>
      <c r="K199" s="11">
        <f t="shared" si="45"/>
        <v>48601.04</v>
      </c>
      <c r="L199" s="11">
        <f t="shared" si="45"/>
        <v>48601.04</v>
      </c>
      <c r="M199" s="11">
        <f t="shared" si="45"/>
        <v>48601.04</v>
      </c>
      <c r="N199" s="11">
        <f t="shared" si="45"/>
        <v>48601.04</v>
      </c>
      <c r="O199" s="12">
        <f t="shared" si="45"/>
        <v>48601.04</v>
      </c>
      <c r="P199" s="11">
        <f>SUM(D199:O199)</f>
        <v>582362.49</v>
      </c>
    </row>
    <row r="200" spans="3:16" ht="13.5" thickBot="1">
      <c r="C200" s="17" t="s">
        <v>74</v>
      </c>
      <c r="D200" s="18">
        <f aca="true" t="shared" si="46" ref="D200:P200">SUM(D197:D199)</f>
        <v>49365.63</v>
      </c>
      <c r="E200" s="18">
        <f t="shared" si="46"/>
        <v>49115.63</v>
      </c>
      <c r="F200" s="18">
        <f t="shared" si="46"/>
        <v>49115.63</v>
      </c>
      <c r="G200" s="18">
        <f t="shared" si="46"/>
        <v>49398.96</v>
      </c>
      <c r="H200" s="18">
        <f t="shared" si="46"/>
        <v>49385.21</v>
      </c>
      <c r="I200" s="18">
        <f t="shared" si="46"/>
        <v>49385.21</v>
      </c>
      <c r="J200" s="18">
        <f t="shared" si="46"/>
        <v>49385.21</v>
      </c>
      <c r="K200" s="18">
        <f t="shared" si="46"/>
        <v>49385.21</v>
      </c>
      <c r="L200" s="18">
        <f t="shared" si="46"/>
        <v>49385.21</v>
      </c>
      <c r="M200" s="18">
        <f t="shared" si="46"/>
        <v>49385.21</v>
      </c>
      <c r="N200" s="18">
        <f t="shared" si="46"/>
        <v>49385.21</v>
      </c>
      <c r="O200" s="19">
        <f t="shared" si="46"/>
        <v>49385.21</v>
      </c>
      <c r="P200" s="20">
        <f t="shared" si="46"/>
        <v>592077.53</v>
      </c>
    </row>
    <row r="201" spans="3:15" ht="12.75">
      <c r="C201" s="29"/>
      <c r="M201" s="3"/>
      <c r="O201" s="4"/>
    </row>
    <row r="202" spans="1:15" ht="15.75">
      <c r="A202" s="1">
        <f>A196+1</f>
        <v>25</v>
      </c>
      <c r="C202" s="10" t="s">
        <v>75</v>
      </c>
      <c r="M202" s="3"/>
      <c r="O202" s="4"/>
    </row>
    <row r="203" spans="3:16" ht="12.75">
      <c r="C203" s="9" t="str">
        <f>C185</f>
        <v>Debt Reserve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2">
        <v>0</v>
      </c>
      <c r="P203" s="11">
        <f>SUM(D203:O203)</f>
        <v>0</v>
      </c>
    </row>
    <row r="204" spans="3:16" ht="12.75">
      <c r="C204" s="9" t="str">
        <f>C186</f>
        <v>Treasury Fee</v>
      </c>
      <c r="D204" s="11">
        <v>250</v>
      </c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2"/>
      <c r="P204" s="11">
        <f>SUM(D204:O204)</f>
        <v>250</v>
      </c>
    </row>
    <row r="205" spans="3:16" ht="13.5" thickBot="1">
      <c r="C205" s="9" t="str">
        <f>C187</f>
        <v>Intercept</v>
      </c>
      <c r="D205" s="11">
        <f>10000+50975</f>
        <v>60975</v>
      </c>
      <c r="E205" s="11">
        <f>10000+50975</f>
        <v>60975</v>
      </c>
      <c r="F205" s="11">
        <f>10000+50975</f>
        <v>60975</v>
      </c>
      <c r="G205" s="11">
        <f>10833.33+50375</f>
        <v>61208.33</v>
      </c>
      <c r="H205" s="11">
        <f aca="true" t="shared" si="47" ref="H205:O205">10833.33+50375</f>
        <v>61208.33</v>
      </c>
      <c r="I205" s="11">
        <f t="shared" si="47"/>
        <v>61208.33</v>
      </c>
      <c r="J205" s="11">
        <f t="shared" si="47"/>
        <v>61208.33</v>
      </c>
      <c r="K205" s="11">
        <f t="shared" si="47"/>
        <v>61208.33</v>
      </c>
      <c r="L205" s="11">
        <f t="shared" si="47"/>
        <v>61208.33</v>
      </c>
      <c r="M205" s="11">
        <f t="shared" si="47"/>
        <v>61208.33</v>
      </c>
      <c r="N205" s="11">
        <f t="shared" si="47"/>
        <v>61208.33</v>
      </c>
      <c r="O205" s="12">
        <f t="shared" si="47"/>
        <v>61208.33</v>
      </c>
      <c r="P205" s="11">
        <f>SUM(D205:O205)</f>
        <v>733799.97</v>
      </c>
    </row>
    <row r="206" spans="3:16" ht="13.5" thickBot="1">
      <c r="C206" s="17" t="s">
        <v>76</v>
      </c>
      <c r="D206" s="18">
        <f aca="true" t="shared" si="48" ref="D206:P206">SUM(D203:D205)</f>
        <v>61225</v>
      </c>
      <c r="E206" s="18">
        <f t="shared" si="48"/>
        <v>60975</v>
      </c>
      <c r="F206" s="18">
        <f t="shared" si="48"/>
        <v>60975</v>
      </c>
      <c r="G206" s="18">
        <f t="shared" si="48"/>
        <v>61208.33</v>
      </c>
      <c r="H206" s="18">
        <f t="shared" si="48"/>
        <v>61208.33</v>
      </c>
      <c r="I206" s="18">
        <f t="shared" si="48"/>
        <v>61208.33</v>
      </c>
      <c r="J206" s="18">
        <f t="shared" si="48"/>
        <v>61208.33</v>
      </c>
      <c r="K206" s="18">
        <f t="shared" si="48"/>
        <v>61208.33</v>
      </c>
      <c r="L206" s="18">
        <f t="shared" si="48"/>
        <v>61208.33</v>
      </c>
      <c r="M206" s="18">
        <f t="shared" si="48"/>
        <v>61208.33</v>
      </c>
      <c r="N206" s="18">
        <f t="shared" si="48"/>
        <v>61208.33</v>
      </c>
      <c r="O206" s="19">
        <f t="shared" si="48"/>
        <v>61208.33</v>
      </c>
      <c r="P206" s="20">
        <f t="shared" si="48"/>
        <v>734049.97</v>
      </c>
    </row>
    <row r="207" spans="3:15" ht="12.75">
      <c r="C207" s="29"/>
      <c r="M207" s="3"/>
      <c r="O207" s="4"/>
    </row>
    <row r="208" spans="1:15" ht="15.75">
      <c r="A208" s="1">
        <f>A202+1</f>
        <v>26</v>
      </c>
      <c r="C208" s="10" t="s">
        <v>77</v>
      </c>
      <c r="M208" s="3"/>
      <c r="O208" s="4"/>
    </row>
    <row r="209" spans="3:16" ht="12.75">
      <c r="C209" s="9" t="str">
        <f>C191</f>
        <v>Debt Reserve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2">
        <v>0</v>
      </c>
      <c r="P209" s="11">
        <f>SUM(D209:O209)</f>
        <v>0</v>
      </c>
    </row>
    <row r="210" spans="3:16" ht="12.75">
      <c r="C210" s="9" t="str">
        <f>C192</f>
        <v>Treasury Fee</v>
      </c>
      <c r="D210" s="11">
        <v>250</v>
      </c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2"/>
      <c r="P210" s="11">
        <f>SUM(D210:O210)</f>
        <v>250</v>
      </c>
    </row>
    <row r="211" spans="3:16" ht="13.5" thickBot="1">
      <c r="C211" s="9" t="str">
        <f>C193</f>
        <v>Intercept</v>
      </c>
      <c r="D211" s="11">
        <f aca="true" t="shared" si="49" ref="D211:M211">10416.67+33225.42</f>
        <v>43642.09</v>
      </c>
      <c r="E211" s="11">
        <f t="shared" si="49"/>
        <v>43642.09</v>
      </c>
      <c r="F211" s="11">
        <f t="shared" si="49"/>
        <v>43642.09</v>
      </c>
      <c r="G211" s="11">
        <f t="shared" si="49"/>
        <v>43642.09</v>
      </c>
      <c r="H211" s="11">
        <f t="shared" si="49"/>
        <v>43642.09</v>
      </c>
      <c r="I211" s="11">
        <f t="shared" si="49"/>
        <v>43642.09</v>
      </c>
      <c r="J211" s="11">
        <f t="shared" si="49"/>
        <v>43642.09</v>
      </c>
      <c r="K211" s="11">
        <f t="shared" si="49"/>
        <v>43642.09</v>
      </c>
      <c r="L211" s="11">
        <f t="shared" si="49"/>
        <v>43642.09</v>
      </c>
      <c r="M211" s="11">
        <f t="shared" si="49"/>
        <v>43642.09</v>
      </c>
      <c r="N211" s="11">
        <f>10833.33+32662.92</f>
        <v>43496.25</v>
      </c>
      <c r="O211" s="12">
        <f>10833.33+32662.92</f>
        <v>43496.25</v>
      </c>
      <c r="P211" s="11">
        <f>SUM(D211:O211)</f>
        <v>523413.3999999999</v>
      </c>
    </row>
    <row r="212" spans="3:16" ht="13.5" thickBot="1">
      <c r="C212" s="17" t="s">
        <v>30</v>
      </c>
      <c r="D212" s="18">
        <f aca="true" t="shared" si="50" ref="D212:P212">SUM(D209:D211)</f>
        <v>43892.09</v>
      </c>
      <c r="E212" s="18">
        <f t="shared" si="50"/>
        <v>43642.09</v>
      </c>
      <c r="F212" s="18">
        <f t="shared" si="50"/>
        <v>43642.09</v>
      </c>
      <c r="G212" s="18">
        <f t="shared" si="50"/>
        <v>43642.09</v>
      </c>
      <c r="H212" s="18">
        <f t="shared" si="50"/>
        <v>43642.09</v>
      </c>
      <c r="I212" s="18">
        <f t="shared" si="50"/>
        <v>43642.09</v>
      </c>
      <c r="J212" s="18">
        <f t="shared" si="50"/>
        <v>43642.09</v>
      </c>
      <c r="K212" s="18">
        <f t="shared" si="50"/>
        <v>43642.09</v>
      </c>
      <c r="L212" s="18">
        <f t="shared" si="50"/>
        <v>43642.09</v>
      </c>
      <c r="M212" s="18">
        <f t="shared" si="50"/>
        <v>43642.09</v>
      </c>
      <c r="N212" s="18">
        <f t="shared" si="50"/>
        <v>43496.25</v>
      </c>
      <c r="O212" s="19">
        <f t="shared" si="50"/>
        <v>43496.25</v>
      </c>
      <c r="P212" s="20">
        <f t="shared" si="50"/>
        <v>523663.3999999999</v>
      </c>
    </row>
    <row r="213" spans="3:15" ht="12.75">
      <c r="C213" s="29"/>
      <c r="M213" s="3"/>
      <c r="O213" s="4"/>
    </row>
    <row r="214" spans="1:15" ht="15.75">
      <c r="A214" s="1">
        <f>A208+1</f>
        <v>27</v>
      </c>
      <c r="C214" s="10" t="s">
        <v>78</v>
      </c>
      <c r="M214" s="3"/>
      <c r="O214" s="4"/>
    </row>
    <row r="215" spans="3:16" ht="12.75">
      <c r="C215" s="9" t="str">
        <f>C197</f>
        <v>Debt Reserve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2">
        <v>0</v>
      </c>
      <c r="P215" s="11">
        <f>SUM(D215:O215)</f>
        <v>0</v>
      </c>
    </row>
    <row r="216" spans="3:16" ht="12.75">
      <c r="C216" s="9" t="str">
        <f>C198</f>
        <v>Treasury Fee</v>
      </c>
      <c r="D216" s="11">
        <v>250</v>
      </c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2"/>
      <c r="P216" s="11">
        <f>SUM(D216:O216)</f>
        <v>250</v>
      </c>
    </row>
    <row r="217" spans="3:16" ht="13.5" thickBot="1">
      <c r="C217" s="9" t="str">
        <f>C199</f>
        <v>Intercept</v>
      </c>
      <c r="D217" s="11">
        <f>6666.67+24187.5</f>
        <v>30854.17</v>
      </c>
      <c r="E217" s="11">
        <f>6666.67+24187.5</f>
        <v>30854.17</v>
      </c>
      <c r="F217" s="11">
        <f>6666.67+24187.5</f>
        <v>30854.17</v>
      </c>
      <c r="G217" s="11">
        <f>6666.67+24187.5</f>
        <v>30854.17</v>
      </c>
      <c r="H217" s="11">
        <f aca="true" t="shared" si="51" ref="H217:O217">6666.67+23812.5</f>
        <v>30479.17</v>
      </c>
      <c r="I217" s="11">
        <f t="shared" si="51"/>
        <v>30479.17</v>
      </c>
      <c r="J217" s="11">
        <f t="shared" si="51"/>
        <v>30479.17</v>
      </c>
      <c r="K217" s="11">
        <f t="shared" si="51"/>
        <v>30479.17</v>
      </c>
      <c r="L217" s="11">
        <f t="shared" si="51"/>
        <v>30479.17</v>
      </c>
      <c r="M217" s="11">
        <f t="shared" si="51"/>
        <v>30479.17</v>
      </c>
      <c r="N217" s="11">
        <f t="shared" si="51"/>
        <v>30479.17</v>
      </c>
      <c r="O217" s="12">
        <f t="shared" si="51"/>
        <v>30479.17</v>
      </c>
      <c r="P217" s="11">
        <f>SUM(D217:O217)</f>
        <v>367250.03999999986</v>
      </c>
    </row>
    <row r="218" spans="3:16" ht="13.5" thickBot="1">
      <c r="C218" s="17" t="s">
        <v>79</v>
      </c>
      <c r="D218" s="18">
        <f aca="true" t="shared" si="52" ref="D218:P218">SUM(D215:D217)</f>
        <v>31104.17</v>
      </c>
      <c r="E218" s="18">
        <f t="shared" si="52"/>
        <v>30854.17</v>
      </c>
      <c r="F218" s="18">
        <f t="shared" si="52"/>
        <v>30854.17</v>
      </c>
      <c r="G218" s="18">
        <f t="shared" si="52"/>
        <v>30854.17</v>
      </c>
      <c r="H218" s="18">
        <f t="shared" si="52"/>
        <v>30479.17</v>
      </c>
      <c r="I218" s="18">
        <f t="shared" si="52"/>
        <v>30479.17</v>
      </c>
      <c r="J218" s="18">
        <f t="shared" si="52"/>
        <v>30479.17</v>
      </c>
      <c r="K218" s="18">
        <f t="shared" si="52"/>
        <v>30479.17</v>
      </c>
      <c r="L218" s="18">
        <f t="shared" si="52"/>
        <v>30479.17</v>
      </c>
      <c r="M218" s="18">
        <f t="shared" si="52"/>
        <v>30479.17</v>
      </c>
      <c r="N218" s="18">
        <f t="shared" si="52"/>
        <v>30479.17</v>
      </c>
      <c r="O218" s="19">
        <f t="shared" si="52"/>
        <v>30479.17</v>
      </c>
      <c r="P218" s="20">
        <f t="shared" si="52"/>
        <v>367500.03999999986</v>
      </c>
    </row>
    <row r="219" spans="3:15" ht="12.75">
      <c r="C219" s="29"/>
      <c r="M219" s="3"/>
      <c r="O219" s="4"/>
    </row>
    <row r="220" spans="1:15" ht="15.75">
      <c r="A220" s="1">
        <f>A214+1</f>
        <v>28</v>
      </c>
      <c r="C220" s="10" t="s">
        <v>80</v>
      </c>
      <c r="M220" s="3"/>
      <c r="O220" s="4"/>
    </row>
    <row r="221" spans="3:16" ht="12.75">
      <c r="C221" s="9" t="str">
        <f>C203</f>
        <v>Debt Reserve</v>
      </c>
      <c r="D221" s="11">
        <v>436.25</v>
      </c>
      <c r="E221" s="11">
        <v>436.25</v>
      </c>
      <c r="F221" s="11">
        <v>436.25</v>
      </c>
      <c r="G221" s="11">
        <v>436.25</v>
      </c>
      <c r="H221" s="11">
        <v>436.25</v>
      </c>
      <c r="I221" s="11">
        <v>436.25</v>
      </c>
      <c r="J221" s="11">
        <v>427.59</v>
      </c>
      <c r="K221" s="11">
        <v>427.59</v>
      </c>
      <c r="L221" s="11">
        <v>427.59</v>
      </c>
      <c r="M221" s="11">
        <v>427.59</v>
      </c>
      <c r="N221" s="11">
        <v>427.59</v>
      </c>
      <c r="O221" s="12">
        <v>427.59</v>
      </c>
      <c r="P221" s="11">
        <f>SUM(D221:O221)</f>
        <v>5183.040000000001</v>
      </c>
    </row>
    <row r="222" spans="3:16" ht="12.75">
      <c r="C222" s="9" t="str">
        <f>C204</f>
        <v>Treasury Fee</v>
      </c>
      <c r="D222" s="11">
        <v>250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2"/>
      <c r="P222" s="11">
        <f>SUM(D222:O222)</f>
        <v>250</v>
      </c>
    </row>
    <row r="223" spans="3:16" ht="13.5" thickBot="1">
      <c r="C223" s="9" t="str">
        <f>C205</f>
        <v>Intercept</v>
      </c>
      <c r="D223" s="11">
        <f>9166.67+18342.5</f>
        <v>27509.17</v>
      </c>
      <c r="E223" s="11">
        <f>9166.67+18342.5</f>
        <v>27509.17</v>
      </c>
      <c r="F223" s="11">
        <f>9166.67+18342.5</f>
        <v>27509.17</v>
      </c>
      <c r="G223" s="11">
        <f>9166.67+18342.5</f>
        <v>27509.17</v>
      </c>
      <c r="H223" s="11">
        <f>9166.67+18342.5</f>
        <v>27509.17</v>
      </c>
      <c r="I223" s="11">
        <f aca="true" t="shared" si="53" ref="I223:O223">9583.33+17998.75</f>
        <v>27582.08</v>
      </c>
      <c r="J223" s="11">
        <f t="shared" si="53"/>
        <v>27582.08</v>
      </c>
      <c r="K223" s="11">
        <f t="shared" si="53"/>
        <v>27582.08</v>
      </c>
      <c r="L223" s="11">
        <f t="shared" si="53"/>
        <v>27582.08</v>
      </c>
      <c r="M223" s="11">
        <f t="shared" si="53"/>
        <v>27582.08</v>
      </c>
      <c r="N223" s="11">
        <f t="shared" si="53"/>
        <v>27582.08</v>
      </c>
      <c r="O223" s="12">
        <f t="shared" si="53"/>
        <v>27582.08</v>
      </c>
      <c r="P223" s="11">
        <f>SUM(D223:O223)</f>
        <v>330620.4100000001</v>
      </c>
    </row>
    <row r="224" spans="3:16" ht="13.5" thickBot="1">
      <c r="C224" s="17" t="s">
        <v>81</v>
      </c>
      <c r="D224" s="18">
        <f aca="true" t="shared" si="54" ref="D224:P224">SUM(D221:D223)</f>
        <v>28195.42</v>
      </c>
      <c r="E224" s="18">
        <f t="shared" si="54"/>
        <v>27945.42</v>
      </c>
      <c r="F224" s="18">
        <f t="shared" si="54"/>
        <v>27945.42</v>
      </c>
      <c r="G224" s="18">
        <f t="shared" si="54"/>
        <v>27945.42</v>
      </c>
      <c r="H224" s="18">
        <f t="shared" si="54"/>
        <v>27945.42</v>
      </c>
      <c r="I224" s="18">
        <f t="shared" si="54"/>
        <v>28018.33</v>
      </c>
      <c r="J224" s="18">
        <f t="shared" si="54"/>
        <v>28009.670000000002</v>
      </c>
      <c r="K224" s="18">
        <f t="shared" si="54"/>
        <v>28009.670000000002</v>
      </c>
      <c r="L224" s="18">
        <f t="shared" si="54"/>
        <v>28009.670000000002</v>
      </c>
      <c r="M224" s="18">
        <f t="shared" si="54"/>
        <v>28009.670000000002</v>
      </c>
      <c r="N224" s="18">
        <f t="shared" si="54"/>
        <v>28009.670000000002</v>
      </c>
      <c r="O224" s="19">
        <f t="shared" si="54"/>
        <v>28009.670000000002</v>
      </c>
      <c r="P224" s="20">
        <f t="shared" si="54"/>
        <v>336053.45000000007</v>
      </c>
    </row>
    <row r="225" spans="3:16" ht="12.75">
      <c r="C225" s="29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1"/>
      <c r="P225" s="30"/>
    </row>
    <row r="226" spans="1:15" ht="15.75">
      <c r="A226" s="1">
        <f>A220+1</f>
        <v>29</v>
      </c>
      <c r="C226" s="32" t="s">
        <v>82</v>
      </c>
      <c r="M226" s="3"/>
      <c r="O226" s="4"/>
    </row>
    <row r="227" spans="3:16" ht="12.75">
      <c r="C227" s="9" t="str">
        <f>C209</f>
        <v>Debt Reserve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2">
        <v>0</v>
      </c>
      <c r="P227" s="11">
        <f>SUM(D227:O227)</f>
        <v>0</v>
      </c>
    </row>
    <row r="228" spans="3:16" ht="12.75">
      <c r="C228" s="9" t="str">
        <f>C210</f>
        <v>Treasury Fee</v>
      </c>
      <c r="D228" s="11">
        <v>250</v>
      </c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2"/>
      <c r="P228" s="11">
        <f>SUM(D228:O228)</f>
        <v>250</v>
      </c>
    </row>
    <row r="229" spans="3:16" ht="13.5" thickBot="1">
      <c r="C229" s="9" t="str">
        <f>C211</f>
        <v>Intercept</v>
      </c>
      <c r="D229" s="11">
        <v>23071.88</v>
      </c>
      <c r="E229" s="11">
        <v>23071.88</v>
      </c>
      <c r="F229" s="11">
        <v>23071.88</v>
      </c>
      <c r="G229" s="11">
        <v>23071.88</v>
      </c>
      <c r="H229" s="11">
        <v>23071.88</v>
      </c>
      <c r="I229" s="11">
        <f aca="true" t="shared" si="55" ref="I229:O229">5833.33+23071.88</f>
        <v>28905.21</v>
      </c>
      <c r="J229" s="11">
        <f t="shared" si="55"/>
        <v>28905.21</v>
      </c>
      <c r="K229" s="11">
        <f t="shared" si="55"/>
        <v>28905.21</v>
      </c>
      <c r="L229" s="11">
        <f t="shared" si="55"/>
        <v>28905.21</v>
      </c>
      <c r="M229" s="11">
        <f t="shared" si="55"/>
        <v>28905.21</v>
      </c>
      <c r="N229" s="11">
        <f t="shared" si="55"/>
        <v>28905.21</v>
      </c>
      <c r="O229" s="12">
        <f t="shared" si="55"/>
        <v>28905.21</v>
      </c>
      <c r="P229" s="11">
        <f>SUM(D229:O229)</f>
        <v>317695.87</v>
      </c>
    </row>
    <row r="230" spans="3:16" ht="13.5" thickBot="1">
      <c r="C230" s="33" t="s">
        <v>83</v>
      </c>
      <c r="D230" s="18">
        <f aca="true" t="shared" si="56" ref="D230:P230">SUM(D227:D229)</f>
        <v>23321.88</v>
      </c>
      <c r="E230" s="18">
        <f t="shared" si="56"/>
        <v>23071.88</v>
      </c>
      <c r="F230" s="18">
        <f t="shared" si="56"/>
        <v>23071.88</v>
      </c>
      <c r="G230" s="18">
        <f t="shared" si="56"/>
        <v>23071.88</v>
      </c>
      <c r="H230" s="18">
        <f t="shared" si="56"/>
        <v>23071.88</v>
      </c>
      <c r="I230" s="18">
        <f t="shared" si="56"/>
        <v>28905.21</v>
      </c>
      <c r="J230" s="18">
        <f t="shared" si="56"/>
        <v>28905.21</v>
      </c>
      <c r="K230" s="18">
        <f t="shared" si="56"/>
        <v>28905.21</v>
      </c>
      <c r="L230" s="18">
        <f t="shared" si="56"/>
        <v>28905.21</v>
      </c>
      <c r="M230" s="18">
        <f t="shared" si="56"/>
        <v>28905.21</v>
      </c>
      <c r="N230" s="18">
        <f t="shared" si="56"/>
        <v>28905.21</v>
      </c>
      <c r="O230" s="19">
        <f t="shared" si="56"/>
        <v>28905.21</v>
      </c>
      <c r="P230" s="20">
        <f t="shared" si="56"/>
        <v>317945.87</v>
      </c>
    </row>
    <row r="231" spans="3:16" ht="12.75">
      <c r="C231" s="29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1"/>
      <c r="P231" s="30"/>
    </row>
    <row r="232" spans="1:15" ht="15.75">
      <c r="A232" s="1">
        <f>A226+1</f>
        <v>30</v>
      </c>
      <c r="C232" s="32" t="s">
        <v>84</v>
      </c>
      <c r="M232" s="3"/>
      <c r="O232" s="4"/>
    </row>
    <row r="233" spans="3:16" ht="12.75">
      <c r="C233" s="9" t="str">
        <f>C221</f>
        <v>Debt Reserve</v>
      </c>
      <c r="D233" s="11">
        <v>1297.5</v>
      </c>
      <c r="E233" s="11">
        <v>1297.5</v>
      </c>
      <c r="F233" s="11">
        <v>1297.5</v>
      </c>
      <c r="G233" s="11">
        <v>1297.5</v>
      </c>
      <c r="H233" s="11">
        <v>1297.5</v>
      </c>
      <c r="I233" s="11">
        <v>1297.5</v>
      </c>
      <c r="J233" s="11">
        <v>1297.5</v>
      </c>
      <c r="K233" s="11">
        <v>1297.5</v>
      </c>
      <c r="L233" s="11">
        <v>1297.5</v>
      </c>
      <c r="M233" s="11">
        <v>1273.75</v>
      </c>
      <c r="N233" s="11">
        <v>1273.75</v>
      </c>
      <c r="O233" s="12">
        <v>1273.75</v>
      </c>
      <c r="P233" s="11">
        <f>SUM(D233:O233)</f>
        <v>15498.75</v>
      </c>
    </row>
    <row r="234" spans="3:16" ht="12.75">
      <c r="C234" s="9" t="str">
        <f>C222</f>
        <v>Treasury Fee</v>
      </c>
      <c r="D234" s="11">
        <v>250</v>
      </c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2"/>
      <c r="P234" s="11">
        <f>SUM(D234:O234)</f>
        <v>250</v>
      </c>
    </row>
    <row r="235" spans="3:16" ht="13.5" thickBot="1">
      <c r="C235" s="9" t="str">
        <f>C223</f>
        <v>Intercept</v>
      </c>
      <c r="D235" s="11">
        <f>23750+56113.02</f>
        <v>79863.01999999999</v>
      </c>
      <c r="E235" s="11">
        <f>24583.33+55129.69</f>
        <v>79713.02</v>
      </c>
      <c r="F235" s="11">
        <f aca="true" t="shared" si="57" ref="F235:O235">24583.33+55129.69</f>
        <v>79713.02</v>
      </c>
      <c r="G235" s="11">
        <f t="shared" si="57"/>
        <v>79713.02</v>
      </c>
      <c r="H235" s="11">
        <f t="shared" si="57"/>
        <v>79713.02</v>
      </c>
      <c r="I235" s="11">
        <f t="shared" si="57"/>
        <v>79713.02</v>
      </c>
      <c r="J235" s="11">
        <f t="shared" si="57"/>
        <v>79713.02</v>
      </c>
      <c r="K235" s="11">
        <f t="shared" si="57"/>
        <v>79713.02</v>
      </c>
      <c r="L235" s="11">
        <f t="shared" si="57"/>
        <v>79713.02</v>
      </c>
      <c r="M235" s="11">
        <f t="shared" si="57"/>
        <v>79713.02</v>
      </c>
      <c r="N235" s="11">
        <f t="shared" si="57"/>
        <v>79713.02</v>
      </c>
      <c r="O235" s="12">
        <f t="shared" si="57"/>
        <v>79713.02</v>
      </c>
      <c r="P235" s="11">
        <f>SUM(D235:O235)</f>
        <v>956706.2400000001</v>
      </c>
    </row>
    <row r="236" spans="3:16" ht="13.5" thickBot="1">
      <c r="C236" s="33" t="s">
        <v>85</v>
      </c>
      <c r="D236" s="18">
        <f aca="true" t="shared" si="58" ref="D236:P236">SUM(D233:D235)</f>
        <v>81410.51999999999</v>
      </c>
      <c r="E236" s="18">
        <f t="shared" si="58"/>
        <v>81010.52</v>
      </c>
      <c r="F236" s="18">
        <f t="shared" si="58"/>
        <v>81010.52</v>
      </c>
      <c r="G236" s="18">
        <f t="shared" si="58"/>
        <v>81010.52</v>
      </c>
      <c r="H236" s="18">
        <f t="shared" si="58"/>
        <v>81010.52</v>
      </c>
      <c r="I236" s="18">
        <f t="shared" si="58"/>
        <v>81010.52</v>
      </c>
      <c r="J236" s="18">
        <f t="shared" si="58"/>
        <v>81010.52</v>
      </c>
      <c r="K236" s="18">
        <f t="shared" si="58"/>
        <v>81010.52</v>
      </c>
      <c r="L236" s="18">
        <f t="shared" si="58"/>
        <v>81010.52</v>
      </c>
      <c r="M236" s="18">
        <f t="shared" si="58"/>
        <v>80986.77</v>
      </c>
      <c r="N236" s="18">
        <f t="shared" si="58"/>
        <v>80986.77</v>
      </c>
      <c r="O236" s="19">
        <f t="shared" si="58"/>
        <v>80986.77</v>
      </c>
      <c r="P236" s="20">
        <f t="shared" si="58"/>
        <v>972454.9900000001</v>
      </c>
    </row>
    <row r="237" spans="3:16" ht="12.75">
      <c r="C237" s="29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1"/>
      <c r="P237" s="30"/>
    </row>
    <row r="238" spans="1:15" ht="15.75">
      <c r="A238" s="1">
        <f>A232+1</f>
        <v>31</v>
      </c>
      <c r="C238" s="32" t="s">
        <v>86</v>
      </c>
      <c r="M238" s="3"/>
      <c r="O238" s="4"/>
    </row>
    <row r="239" spans="3:16" ht="12.75">
      <c r="C239" s="9" t="str">
        <f>C227</f>
        <v>Debt Reserve</v>
      </c>
      <c r="D239" s="11">
        <v>746.25</v>
      </c>
      <c r="E239" s="11">
        <v>746.25</v>
      </c>
      <c r="F239" s="11">
        <v>746.25</v>
      </c>
      <c r="G239" s="11">
        <v>746.25</v>
      </c>
      <c r="H239" s="11">
        <v>746.25</v>
      </c>
      <c r="I239" s="11">
        <v>746.25</v>
      </c>
      <c r="J239" s="11">
        <v>746.25</v>
      </c>
      <c r="K239" s="11">
        <v>746.25</v>
      </c>
      <c r="L239" s="11">
        <v>746.25</v>
      </c>
      <c r="M239" s="11">
        <v>746.25</v>
      </c>
      <c r="N239" s="11">
        <v>746.25</v>
      </c>
      <c r="O239" s="12">
        <v>731.67</v>
      </c>
      <c r="P239" s="11">
        <f>SUM(D239:O239)</f>
        <v>8940.42</v>
      </c>
    </row>
    <row r="240" spans="3:16" ht="12.75">
      <c r="C240" s="9" t="str">
        <f>C228</f>
        <v>Treasury Fee</v>
      </c>
      <c r="D240" s="11">
        <v>250</v>
      </c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2"/>
      <c r="P240" s="11">
        <f>SUM(D240:O240)</f>
        <v>250</v>
      </c>
    </row>
    <row r="241" spans="3:16" ht="13.5" thickBot="1">
      <c r="C241" s="9" t="str">
        <f>C229</f>
        <v>Intercept</v>
      </c>
      <c r="D241" s="11">
        <f aca="true" t="shared" si="59" ref="D241:I241">14583.33+33151.77</f>
        <v>47735.1</v>
      </c>
      <c r="E241" s="11">
        <f t="shared" si="59"/>
        <v>47735.1</v>
      </c>
      <c r="F241" s="11">
        <f t="shared" si="59"/>
        <v>47735.1</v>
      </c>
      <c r="G241" s="11">
        <f t="shared" si="59"/>
        <v>47735.1</v>
      </c>
      <c r="H241" s="11">
        <f t="shared" si="59"/>
        <v>47735.1</v>
      </c>
      <c r="I241" s="11">
        <f t="shared" si="59"/>
        <v>47735.1</v>
      </c>
      <c r="J241" s="11">
        <f>14583.33+33151.77</f>
        <v>47735.1</v>
      </c>
      <c r="K241" s="11">
        <f>14583.33+33151.77</f>
        <v>47735.1</v>
      </c>
      <c r="L241" s="11">
        <f>15000+32568.44</f>
        <v>47568.44</v>
      </c>
      <c r="M241" s="11">
        <f>15000+32568.44</f>
        <v>47568.44</v>
      </c>
      <c r="N241" s="11">
        <f>15000+32568.44</f>
        <v>47568.44</v>
      </c>
      <c r="O241" s="12">
        <f>15000+32568.44</f>
        <v>47568.44</v>
      </c>
      <c r="P241" s="11">
        <f>SUM(D241:O241)</f>
        <v>572154.5599999998</v>
      </c>
    </row>
    <row r="242" spans="3:16" ht="13.5" thickBot="1">
      <c r="C242" s="33" t="s">
        <v>87</v>
      </c>
      <c r="D242" s="18">
        <f aca="true" t="shared" si="60" ref="D242:P242">SUM(D239:D241)</f>
        <v>48731.35</v>
      </c>
      <c r="E242" s="18">
        <f t="shared" si="60"/>
        <v>48481.35</v>
      </c>
      <c r="F242" s="18">
        <f t="shared" si="60"/>
        <v>48481.35</v>
      </c>
      <c r="G242" s="18">
        <f t="shared" si="60"/>
        <v>48481.35</v>
      </c>
      <c r="H242" s="18">
        <f t="shared" si="60"/>
        <v>48481.35</v>
      </c>
      <c r="I242" s="18">
        <f t="shared" si="60"/>
        <v>48481.35</v>
      </c>
      <c r="J242" s="18">
        <f t="shared" si="60"/>
        <v>48481.35</v>
      </c>
      <c r="K242" s="18">
        <f t="shared" si="60"/>
        <v>48481.35</v>
      </c>
      <c r="L242" s="18">
        <f t="shared" si="60"/>
        <v>48314.69</v>
      </c>
      <c r="M242" s="18">
        <f t="shared" si="60"/>
        <v>48314.69</v>
      </c>
      <c r="N242" s="18">
        <f t="shared" si="60"/>
        <v>48314.69</v>
      </c>
      <c r="O242" s="19">
        <f t="shared" si="60"/>
        <v>48300.11</v>
      </c>
      <c r="P242" s="20">
        <f t="shared" si="60"/>
        <v>581344.9799999999</v>
      </c>
    </row>
    <row r="243" spans="3:16" ht="12.75">
      <c r="C243" s="29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1"/>
      <c r="P243" s="30"/>
    </row>
    <row r="244" spans="1:16" ht="15.75">
      <c r="A244" s="1" t="s">
        <v>88</v>
      </c>
      <c r="C244" s="32" t="s">
        <v>89</v>
      </c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1"/>
      <c r="P244" s="30"/>
    </row>
    <row r="245" spans="3:16" ht="12.75">
      <c r="C245" s="9" t="str">
        <f>C239</f>
        <v>Debt Reserve</v>
      </c>
      <c r="D245" s="11">
        <v>517.08</v>
      </c>
      <c r="E245" s="11">
        <v>517.08</v>
      </c>
      <c r="F245" s="11">
        <v>517.08</v>
      </c>
      <c r="G245" s="11">
        <v>517.08</v>
      </c>
      <c r="H245" s="11">
        <v>517.08</v>
      </c>
      <c r="I245" s="11">
        <v>517.08</v>
      </c>
      <c r="J245" s="11">
        <v>517.08</v>
      </c>
      <c r="K245" s="11">
        <v>517.08</v>
      </c>
      <c r="L245" s="11">
        <v>517.08</v>
      </c>
      <c r="M245" s="11">
        <v>517.08</v>
      </c>
      <c r="N245" s="11">
        <v>517.08</v>
      </c>
      <c r="O245" s="12">
        <v>517.08</v>
      </c>
      <c r="P245" s="11">
        <f>SUM(D245:O245)</f>
        <v>6204.96</v>
      </c>
    </row>
    <row r="246" spans="3:16" ht="12.75">
      <c r="C246" s="9" t="str">
        <f>C240</f>
        <v>Treasury Fee</v>
      </c>
      <c r="D246" s="11">
        <v>83.33</v>
      </c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2"/>
      <c r="P246" s="11">
        <f>SUM(D246:O246)</f>
        <v>83.33</v>
      </c>
    </row>
    <row r="247" spans="3:16" ht="13.5" thickBot="1">
      <c r="C247" s="9" t="str">
        <f>C241</f>
        <v>Intercept</v>
      </c>
      <c r="D247" s="11">
        <f>9166.67+24777.6</f>
        <v>33944.27</v>
      </c>
      <c r="E247" s="11">
        <f aca="true" t="shared" si="61" ref="E247:O247">9166.67+24777.6</f>
        <v>33944.27</v>
      </c>
      <c r="F247" s="11">
        <f t="shared" si="61"/>
        <v>33944.27</v>
      </c>
      <c r="G247" s="11">
        <f t="shared" si="61"/>
        <v>33944.27</v>
      </c>
      <c r="H247" s="11">
        <f t="shared" si="61"/>
        <v>33944.27</v>
      </c>
      <c r="I247" s="11">
        <f t="shared" si="61"/>
        <v>33944.27</v>
      </c>
      <c r="J247" s="11">
        <f t="shared" si="61"/>
        <v>33944.27</v>
      </c>
      <c r="K247" s="11">
        <f t="shared" si="61"/>
        <v>33944.27</v>
      </c>
      <c r="L247" s="11">
        <f t="shared" si="61"/>
        <v>33944.27</v>
      </c>
      <c r="M247" s="11">
        <f t="shared" si="61"/>
        <v>33944.27</v>
      </c>
      <c r="N247" s="11">
        <f t="shared" si="61"/>
        <v>33944.27</v>
      </c>
      <c r="O247" s="12">
        <f t="shared" si="61"/>
        <v>33944.27</v>
      </c>
      <c r="P247" s="11">
        <f>SUM(D247:O247)</f>
        <v>407331.24000000005</v>
      </c>
    </row>
    <row r="248" spans="3:16" ht="13.5" thickBot="1">
      <c r="C248" s="17" t="s">
        <v>40</v>
      </c>
      <c r="D248" s="18">
        <f aca="true" t="shared" si="62" ref="D248:P248">SUM(D245:D247)</f>
        <v>34544.68</v>
      </c>
      <c r="E248" s="18">
        <f t="shared" si="62"/>
        <v>34461.35</v>
      </c>
      <c r="F248" s="18">
        <f t="shared" si="62"/>
        <v>34461.35</v>
      </c>
      <c r="G248" s="18">
        <f t="shared" si="62"/>
        <v>34461.35</v>
      </c>
      <c r="H248" s="18">
        <f t="shared" si="62"/>
        <v>34461.35</v>
      </c>
      <c r="I248" s="18">
        <f t="shared" si="62"/>
        <v>34461.35</v>
      </c>
      <c r="J248" s="18">
        <f t="shared" si="62"/>
        <v>34461.35</v>
      </c>
      <c r="K248" s="18">
        <f t="shared" si="62"/>
        <v>34461.35</v>
      </c>
      <c r="L248" s="18">
        <f t="shared" si="62"/>
        <v>34461.35</v>
      </c>
      <c r="M248" s="18">
        <f t="shared" si="62"/>
        <v>34461.35</v>
      </c>
      <c r="N248" s="18">
        <f t="shared" si="62"/>
        <v>34461.35</v>
      </c>
      <c r="O248" s="19">
        <f t="shared" si="62"/>
        <v>34461.35</v>
      </c>
      <c r="P248" s="20">
        <f t="shared" si="62"/>
        <v>413619.53</v>
      </c>
    </row>
    <row r="249" spans="3:16" ht="12.75">
      <c r="C249" s="29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1"/>
      <c r="P249" s="30"/>
    </row>
    <row r="250" spans="1:16" ht="15.75">
      <c r="A250" s="1" t="s">
        <v>90</v>
      </c>
      <c r="C250" s="32" t="s">
        <v>91</v>
      </c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1"/>
      <c r="P250" s="30"/>
    </row>
    <row r="251" spans="3:16" ht="12.75">
      <c r="C251" s="9" t="str">
        <f>C245</f>
        <v>Debt Reserve</v>
      </c>
      <c r="D251" s="11">
        <v>517.08</v>
      </c>
      <c r="E251" s="11">
        <v>517.08</v>
      </c>
      <c r="F251" s="11">
        <v>517.08</v>
      </c>
      <c r="G251" s="11">
        <v>517.08</v>
      </c>
      <c r="H251" s="11">
        <v>517.08</v>
      </c>
      <c r="I251" s="11">
        <v>517.08</v>
      </c>
      <c r="J251" s="11">
        <v>517.08</v>
      </c>
      <c r="K251" s="11">
        <v>517.08</v>
      </c>
      <c r="L251" s="11">
        <v>517.08</v>
      </c>
      <c r="M251" s="11">
        <v>517.08</v>
      </c>
      <c r="N251" s="11">
        <v>517.08</v>
      </c>
      <c r="O251" s="12">
        <v>517.08</v>
      </c>
      <c r="P251" s="11">
        <f>SUM(D251:O251)</f>
        <v>6204.96</v>
      </c>
    </row>
    <row r="252" spans="3:16" ht="12.75">
      <c r="C252" s="9" t="str">
        <f>C246</f>
        <v>Treasury Fee</v>
      </c>
      <c r="D252" s="11">
        <v>83.33</v>
      </c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2"/>
      <c r="P252" s="11">
        <f>SUM(D252:O252)</f>
        <v>83.33</v>
      </c>
    </row>
    <row r="253" spans="3:16" ht="13.5" thickBot="1">
      <c r="C253" s="9" t="str">
        <f>C247</f>
        <v>Intercept</v>
      </c>
      <c r="D253" s="11">
        <f>9166.67+24777.6</f>
        <v>33944.27</v>
      </c>
      <c r="E253" s="11">
        <f aca="true" t="shared" si="63" ref="E253:O253">9166.67+24777.6</f>
        <v>33944.27</v>
      </c>
      <c r="F253" s="11">
        <f t="shared" si="63"/>
        <v>33944.27</v>
      </c>
      <c r="G253" s="11">
        <f t="shared" si="63"/>
        <v>33944.27</v>
      </c>
      <c r="H253" s="11">
        <f t="shared" si="63"/>
        <v>33944.27</v>
      </c>
      <c r="I253" s="11">
        <f t="shared" si="63"/>
        <v>33944.27</v>
      </c>
      <c r="J253" s="11">
        <f t="shared" si="63"/>
        <v>33944.27</v>
      </c>
      <c r="K253" s="11">
        <f t="shared" si="63"/>
        <v>33944.27</v>
      </c>
      <c r="L253" s="11">
        <f t="shared" si="63"/>
        <v>33944.27</v>
      </c>
      <c r="M253" s="11">
        <f t="shared" si="63"/>
        <v>33944.27</v>
      </c>
      <c r="N253" s="11">
        <f t="shared" si="63"/>
        <v>33944.27</v>
      </c>
      <c r="O253" s="12">
        <f t="shared" si="63"/>
        <v>33944.27</v>
      </c>
      <c r="P253" s="11">
        <f>SUM(D253:O253)</f>
        <v>407331.24000000005</v>
      </c>
    </row>
    <row r="254" spans="3:16" ht="13.5" thickBot="1">
      <c r="C254" s="17" t="s">
        <v>42</v>
      </c>
      <c r="D254" s="18">
        <f aca="true" t="shared" si="64" ref="D254:P254">SUM(D251:D253)</f>
        <v>34544.68</v>
      </c>
      <c r="E254" s="18">
        <f t="shared" si="64"/>
        <v>34461.35</v>
      </c>
      <c r="F254" s="18">
        <f t="shared" si="64"/>
        <v>34461.35</v>
      </c>
      <c r="G254" s="18">
        <f t="shared" si="64"/>
        <v>34461.35</v>
      </c>
      <c r="H254" s="18">
        <f t="shared" si="64"/>
        <v>34461.35</v>
      </c>
      <c r="I254" s="18">
        <f t="shared" si="64"/>
        <v>34461.35</v>
      </c>
      <c r="J254" s="18">
        <f t="shared" si="64"/>
        <v>34461.35</v>
      </c>
      <c r="K254" s="18">
        <f t="shared" si="64"/>
        <v>34461.35</v>
      </c>
      <c r="L254" s="18">
        <f t="shared" si="64"/>
        <v>34461.35</v>
      </c>
      <c r="M254" s="18">
        <f t="shared" si="64"/>
        <v>34461.35</v>
      </c>
      <c r="N254" s="18">
        <f t="shared" si="64"/>
        <v>34461.35</v>
      </c>
      <c r="O254" s="19">
        <f t="shared" si="64"/>
        <v>34461.35</v>
      </c>
      <c r="P254" s="20">
        <f t="shared" si="64"/>
        <v>413619.53</v>
      </c>
    </row>
    <row r="255" spans="3:16" ht="12.75">
      <c r="C255" s="29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1"/>
      <c r="P255" s="30"/>
    </row>
    <row r="256" spans="1:16" ht="15.75">
      <c r="A256" s="1" t="s">
        <v>92</v>
      </c>
      <c r="C256" s="32" t="s">
        <v>93</v>
      </c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1"/>
      <c r="P256" s="30"/>
    </row>
    <row r="257" spans="3:16" ht="12.75">
      <c r="C257" s="9" t="str">
        <f>C251</f>
        <v>Debt Reserve</v>
      </c>
      <c r="D257" s="11">
        <v>686.25</v>
      </c>
      <c r="E257" s="11">
        <v>686.25</v>
      </c>
      <c r="F257" s="11">
        <v>686.25</v>
      </c>
      <c r="G257" s="11">
        <v>686.25</v>
      </c>
      <c r="H257" s="11">
        <v>686.25</v>
      </c>
      <c r="I257" s="11">
        <v>686.25</v>
      </c>
      <c r="J257" s="11">
        <v>686.25</v>
      </c>
      <c r="K257" s="11">
        <v>686.25</v>
      </c>
      <c r="L257" s="11">
        <v>686.25</v>
      </c>
      <c r="M257" s="11">
        <v>686.25</v>
      </c>
      <c r="N257" s="11">
        <v>686.25</v>
      </c>
      <c r="O257" s="12">
        <v>686.25</v>
      </c>
      <c r="P257" s="11">
        <f>SUM(D257:O257)</f>
        <v>8235</v>
      </c>
    </row>
    <row r="258" spans="3:16" ht="12.75">
      <c r="C258" s="9" t="str">
        <f>C252</f>
        <v>Treasury Fee</v>
      </c>
      <c r="D258" s="11">
        <v>83.33</v>
      </c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2"/>
      <c r="P258" s="11">
        <f>SUM(D258:O258)</f>
        <v>83.33</v>
      </c>
    </row>
    <row r="259" spans="3:16" ht="13.5" thickBot="1">
      <c r="C259" s="9" t="str">
        <f>C253</f>
        <v>Intercept</v>
      </c>
      <c r="D259" s="11">
        <f>12083.33+32885.94</f>
        <v>44969.270000000004</v>
      </c>
      <c r="E259" s="11">
        <f aca="true" t="shared" si="65" ref="E259:O259">12083.33+32885.94</f>
        <v>44969.270000000004</v>
      </c>
      <c r="F259" s="11">
        <f t="shared" si="65"/>
        <v>44969.270000000004</v>
      </c>
      <c r="G259" s="11">
        <f t="shared" si="65"/>
        <v>44969.270000000004</v>
      </c>
      <c r="H259" s="11">
        <f t="shared" si="65"/>
        <v>44969.270000000004</v>
      </c>
      <c r="I259" s="11">
        <f t="shared" si="65"/>
        <v>44969.270000000004</v>
      </c>
      <c r="J259" s="11">
        <f t="shared" si="65"/>
        <v>44969.270000000004</v>
      </c>
      <c r="K259" s="11">
        <f t="shared" si="65"/>
        <v>44969.270000000004</v>
      </c>
      <c r="L259" s="11">
        <f t="shared" si="65"/>
        <v>44969.270000000004</v>
      </c>
      <c r="M259" s="11">
        <f t="shared" si="65"/>
        <v>44969.270000000004</v>
      </c>
      <c r="N259" s="11">
        <f t="shared" si="65"/>
        <v>44969.270000000004</v>
      </c>
      <c r="O259" s="12">
        <f t="shared" si="65"/>
        <v>44969.270000000004</v>
      </c>
      <c r="P259" s="11">
        <f>SUM(D259:O259)</f>
        <v>539631.2400000001</v>
      </c>
    </row>
    <row r="260" spans="3:16" ht="13.5" thickBot="1">
      <c r="C260" s="33" t="s">
        <v>94</v>
      </c>
      <c r="D260" s="18">
        <f aca="true" t="shared" si="66" ref="D260:P260">SUM(D257:D259)</f>
        <v>45738.850000000006</v>
      </c>
      <c r="E260" s="18">
        <f t="shared" si="66"/>
        <v>45655.520000000004</v>
      </c>
      <c r="F260" s="18">
        <f t="shared" si="66"/>
        <v>45655.520000000004</v>
      </c>
      <c r="G260" s="18">
        <f t="shared" si="66"/>
        <v>45655.520000000004</v>
      </c>
      <c r="H260" s="18">
        <f t="shared" si="66"/>
        <v>45655.520000000004</v>
      </c>
      <c r="I260" s="18">
        <f t="shared" si="66"/>
        <v>45655.520000000004</v>
      </c>
      <c r="J260" s="18">
        <f t="shared" si="66"/>
        <v>45655.520000000004</v>
      </c>
      <c r="K260" s="18">
        <f t="shared" si="66"/>
        <v>45655.520000000004</v>
      </c>
      <c r="L260" s="18">
        <f t="shared" si="66"/>
        <v>45655.520000000004</v>
      </c>
      <c r="M260" s="18">
        <f t="shared" si="66"/>
        <v>45655.520000000004</v>
      </c>
      <c r="N260" s="18">
        <f t="shared" si="66"/>
        <v>45655.520000000004</v>
      </c>
      <c r="O260" s="19">
        <f t="shared" si="66"/>
        <v>45655.520000000004</v>
      </c>
      <c r="P260" s="20">
        <f t="shared" si="66"/>
        <v>547949.5700000001</v>
      </c>
    </row>
    <row r="261" spans="3:16" ht="12.75">
      <c r="C261" s="34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1"/>
      <c r="P261" s="30"/>
    </row>
    <row r="262" spans="1:16" ht="15.75">
      <c r="A262" s="35">
        <v>33</v>
      </c>
      <c r="C262" s="32" t="s">
        <v>95</v>
      </c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1"/>
      <c r="P262" s="30"/>
    </row>
    <row r="263" spans="3:16" ht="12.75">
      <c r="C263" s="9" t="str">
        <f>C257</f>
        <v>Debt Reserve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2">
        <v>0</v>
      </c>
      <c r="P263" s="11">
        <f>SUM(D263:O263)</f>
        <v>0</v>
      </c>
    </row>
    <row r="264" spans="3:16" ht="12.75">
      <c r="C264" s="9" t="str">
        <f>C258</f>
        <v>Treasury Fee</v>
      </c>
      <c r="D264" s="11">
        <v>250</v>
      </c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2"/>
      <c r="P264" s="11">
        <f>SUM(D264:O264)</f>
        <v>250</v>
      </c>
    </row>
    <row r="265" spans="3:16" ht="13.5" thickBot="1">
      <c r="C265" s="9" t="str">
        <f>C259</f>
        <v>Intercept</v>
      </c>
      <c r="D265" s="11">
        <f aca="true" t="shared" si="67" ref="D265:M265">6250+24341.67</f>
        <v>30591.67</v>
      </c>
      <c r="E265" s="11">
        <f t="shared" si="67"/>
        <v>30591.67</v>
      </c>
      <c r="F265" s="11">
        <f t="shared" si="67"/>
        <v>30591.67</v>
      </c>
      <c r="G265" s="11">
        <f t="shared" si="67"/>
        <v>30591.67</v>
      </c>
      <c r="H265" s="11">
        <f t="shared" si="67"/>
        <v>30591.67</v>
      </c>
      <c r="I265" s="11">
        <f t="shared" si="67"/>
        <v>30591.67</v>
      </c>
      <c r="J265" s="11">
        <f t="shared" si="67"/>
        <v>30591.67</v>
      </c>
      <c r="K265" s="11">
        <f t="shared" si="67"/>
        <v>30591.67</v>
      </c>
      <c r="L265" s="11">
        <f t="shared" si="67"/>
        <v>30591.67</v>
      </c>
      <c r="M265" s="11">
        <f t="shared" si="67"/>
        <v>30591.67</v>
      </c>
      <c r="N265" s="11">
        <f>6666.67+23982.29</f>
        <v>30648.96</v>
      </c>
      <c r="O265" s="12">
        <f>6666.67+23982.29</f>
        <v>30648.96</v>
      </c>
      <c r="P265" s="11">
        <f>SUM(D265:O265)</f>
        <v>367214.61999999994</v>
      </c>
    </row>
    <row r="266" spans="3:16" ht="13.5" thickBot="1">
      <c r="C266" s="33" t="s">
        <v>96</v>
      </c>
      <c r="D266" s="18">
        <f aca="true" t="shared" si="68" ref="D266:P266">SUM(D263:D265)</f>
        <v>30841.67</v>
      </c>
      <c r="E266" s="18">
        <f t="shared" si="68"/>
        <v>30591.67</v>
      </c>
      <c r="F266" s="18">
        <f t="shared" si="68"/>
        <v>30591.67</v>
      </c>
      <c r="G266" s="18">
        <f t="shared" si="68"/>
        <v>30591.67</v>
      </c>
      <c r="H266" s="18">
        <f t="shared" si="68"/>
        <v>30591.67</v>
      </c>
      <c r="I266" s="18">
        <f t="shared" si="68"/>
        <v>30591.67</v>
      </c>
      <c r="J266" s="18">
        <f t="shared" si="68"/>
        <v>30591.67</v>
      </c>
      <c r="K266" s="18">
        <f t="shared" si="68"/>
        <v>30591.67</v>
      </c>
      <c r="L266" s="18">
        <f t="shared" si="68"/>
        <v>30591.67</v>
      </c>
      <c r="M266" s="18">
        <f t="shared" si="68"/>
        <v>30591.67</v>
      </c>
      <c r="N266" s="18">
        <f t="shared" si="68"/>
        <v>30648.96</v>
      </c>
      <c r="O266" s="19">
        <f t="shared" si="68"/>
        <v>30648.96</v>
      </c>
      <c r="P266" s="20">
        <f t="shared" si="68"/>
        <v>367464.61999999994</v>
      </c>
    </row>
    <row r="267" spans="3:16" ht="12.75">
      <c r="C267" s="34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1"/>
      <c r="P267" s="30"/>
    </row>
    <row r="268" spans="1:16" ht="15.75">
      <c r="A268" s="35">
        <f>+A262+1</f>
        <v>34</v>
      </c>
      <c r="C268" s="32" t="s">
        <v>97</v>
      </c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1"/>
      <c r="P268" s="30"/>
    </row>
    <row r="269" spans="3:16" ht="12.75">
      <c r="C269" s="9" t="str">
        <f>C263</f>
        <v>Debt Reserve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2">
        <v>0</v>
      </c>
      <c r="P269" s="11">
        <f>SUM(D269:O269)</f>
        <v>0</v>
      </c>
    </row>
    <row r="270" spans="3:16" ht="12.75">
      <c r="C270" s="9" t="str">
        <f>C264</f>
        <v>Treasury Fee</v>
      </c>
      <c r="D270" s="11">
        <v>250</v>
      </c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2"/>
      <c r="P270" s="11">
        <f>SUM(D270:O270)</f>
        <v>250</v>
      </c>
    </row>
    <row r="271" spans="3:16" ht="13.5" thickBot="1">
      <c r="C271" s="9" t="str">
        <f>C265</f>
        <v>Intercept</v>
      </c>
      <c r="D271" s="11">
        <f aca="true" t="shared" si="69" ref="D271:M271">8750+32347.5</f>
        <v>41097.5</v>
      </c>
      <c r="E271" s="11">
        <f t="shared" si="69"/>
        <v>41097.5</v>
      </c>
      <c r="F271" s="11">
        <f t="shared" si="69"/>
        <v>41097.5</v>
      </c>
      <c r="G271" s="11">
        <f t="shared" si="69"/>
        <v>41097.5</v>
      </c>
      <c r="H271" s="11">
        <f t="shared" si="69"/>
        <v>41097.5</v>
      </c>
      <c r="I271" s="11">
        <f t="shared" si="69"/>
        <v>41097.5</v>
      </c>
      <c r="J271" s="11">
        <f t="shared" si="69"/>
        <v>41097.5</v>
      </c>
      <c r="K271" s="11">
        <f t="shared" si="69"/>
        <v>41097.5</v>
      </c>
      <c r="L271" s="11">
        <f t="shared" si="69"/>
        <v>41097.5</v>
      </c>
      <c r="M271" s="11">
        <f t="shared" si="69"/>
        <v>41097.5</v>
      </c>
      <c r="N271" s="11">
        <f>9166.67+31848.75</f>
        <v>41015.42</v>
      </c>
      <c r="O271" s="12">
        <f>9166.67+31848.75</f>
        <v>41015.42</v>
      </c>
      <c r="P271" s="11">
        <f>SUM(D271:O271)</f>
        <v>493005.83999999997</v>
      </c>
    </row>
    <row r="272" spans="3:16" ht="13.5" thickBot="1">
      <c r="C272" s="33" t="s">
        <v>98</v>
      </c>
      <c r="D272" s="18">
        <f aca="true" t="shared" si="70" ref="D272:P272">SUM(D269:D271)</f>
        <v>41347.5</v>
      </c>
      <c r="E272" s="18">
        <f t="shared" si="70"/>
        <v>41097.5</v>
      </c>
      <c r="F272" s="18">
        <f t="shared" si="70"/>
        <v>41097.5</v>
      </c>
      <c r="G272" s="18">
        <f t="shared" si="70"/>
        <v>41097.5</v>
      </c>
      <c r="H272" s="18">
        <f t="shared" si="70"/>
        <v>41097.5</v>
      </c>
      <c r="I272" s="18">
        <f t="shared" si="70"/>
        <v>41097.5</v>
      </c>
      <c r="J272" s="18">
        <f t="shared" si="70"/>
        <v>41097.5</v>
      </c>
      <c r="K272" s="18">
        <f t="shared" si="70"/>
        <v>41097.5</v>
      </c>
      <c r="L272" s="18">
        <f t="shared" si="70"/>
        <v>41097.5</v>
      </c>
      <c r="M272" s="18">
        <f t="shared" si="70"/>
        <v>41097.5</v>
      </c>
      <c r="N272" s="18">
        <f t="shared" si="70"/>
        <v>41015.42</v>
      </c>
      <c r="O272" s="19">
        <f t="shared" si="70"/>
        <v>41015.42</v>
      </c>
      <c r="P272" s="20">
        <f t="shared" si="70"/>
        <v>493255.83999999997</v>
      </c>
    </row>
    <row r="273" spans="3:16" ht="12.75">
      <c r="C273" s="34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1"/>
      <c r="P273" s="30"/>
    </row>
    <row r="274" spans="1:16" ht="15.75">
      <c r="A274" s="35">
        <f>+A268+1</f>
        <v>35</v>
      </c>
      <c r="C274" s="32" t="s">
        <v>99</v>
      </c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1"/>
      <c r="P274" s="30"/>
    </row>
    <row r="275" spans="3:16" ht="12.75">
      <c r="C275" s="9" t="str">
        <f>C269</f>
        <v>Debt Reserve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2">
        <v>0</v>
      </c>
      <c r="P275" s="11">
        <f>SUM(D275:O275)</f>
        <v>0</v>
      </c>
    </row>
    <row r="276" spans="3:16" ht="12.75">
      <c r="C276" s="9" t="str">
        <f>C270</f>
        <v>Treasury Fee</v>
      </c>
      <c r="D276" s="11">
        <v>250</v>
      </c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2"/>
      <c r="P276" s="11">
        <f>SUM(D276:O276)</f>
        <v>250</v>
      </c>
    </row>
    <row r="277" spans="3:16" ht="13.5" thickBot="1">
      <c r="C277" s="9" t="str">
        <f>C271</f>
        <v>Intercept</v>
      </c>
      <c r="D277" s="11">
        <f aca="true" t="shared" si="71" ref="D277:M277">1666.67+12312.5</f>
        <v>13979.17</v>
      </c>
      <c r="E277" s="11">
        <f t="shared" si="71"/>
        <v>13979.17</v>
      </c>
      <c r="F277" s="11">
        <f t="shared" si="71"/>
        <v>13979.17</v>
      </c>
      <c r="G277" s="11">
        <f t="shared" si="71"/>
        <v>13979.17</v>
      </c>
      <c r="H277" s="11">
        <f t="shared" si="71"/>
        <v>13979.17</v>
      </c>
      <c r="I277" s="11">
        <f t="shared" si="71"/>
        <v>13979.17</v>
      </c>
      <c r="J277" s="11">
        <f t="shared" si="71"/>
        <v>13979.17</v>
      </c>
      <c r="K277" s="11">
        <f t="shared" si="71"/>
        <v>13979.17</v>
      </c>
      <c r="L277" s="11">
        <f t="shared" si="71"/>
        <v>13979.17</v>
      </c>
      <c r="M277" s="11">
        <f t="shared" si="71"/>
        <v>13979.17</v>
      </c>
      <c r="N277" s="11">
        <f>1666.67+12187.5</f>
        <v>13854.17</v>
      </c>
      <c r="O277" s="12">
        <f>1666.67+12187.5</f>
        <v>13854.17</v>
      </c>
      <c r="P277" s="11">
        <f>SUM(D277:O277)</f>
        <v>167500.04000000004</v>
      </c>
    </row>
    <row r="278" spans="3:16" ht="13.5" thickBot="1">
      <c r="C278" s="33" t="s">
        <v>100</v>
      </c>
      <c r="D278" s="18">
        <f aca="true" t="shared" si="72" ref="D278:P278">SUM(D275:D277)</f>
        <v>14229.17</v>
      </c>
      <c r="E278" s="18">
        <f t="shared" si="72"/>
        <v>13979.17</v>
      </c>
      <c r="F278" s="18">
        <f t="shared" si="72"/>
        <v>13979.17</v>
      </c>
      <c r="G278" s="18">
        <f t="shared" si="72"/>
        <v>13979.17</v>
      </c>
      <c r="H278" s="18">
        <f t="shared" si="72"/>
        <v>13979.17</v>
      </c>
      <c r="I278" s="18">
        <f t="shared" si="72"/>
        <v>13979.17</v>
      </c>
      <c r="J278" s="18">
        <f t="shared" si="72"/>
        <v>13979.17</v>
      </c>
      <c r="K278" s="18">
        <f t="shared" si="72"/>
        <v>13979.17</v>
      </c>
      <c r="L278" s="18">
        <f t="shared" si="72"/>
        <v>13979.17</v>
      </c>
      <c r="M278" s="18">
        <f t="shared" si="72"/>
        <v>13979.17</v>
      </c>
      <c r="N278" s="18">
        <f t="shared" si="72"/>
        <v>13854.17</v>
      </c>
      <c r="O278" s="19">
        <f t="shared" si="72"/>
        <v>13854.17</v>
      </c>
      <c r="P278" s="20">
        <f t="shared" si="72"/>
        <v>167750.04000000004</v>
      </c>
    </row>
    <row r="279" spans="3:16" ht="12.75">
      <c r="C279" s="34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1"/>
      <c r="P279" s="30"/>
    </row>
    <row r="280" spans="1:16" ht="15.75">
      <c r="A280" s="35">
        <f>+A274+1</f>
        <v>36</v>
      </c>
      <c r="C280" s="32" t="s">
        <v>101</v>
      </c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1"/>
      <c r="P280" s="30"/>
    </row>
    <row r="281" spans="3:16" ht="12.75">
      <c r="C281" s="9" t="str">
        <f>C275</f>
        <v>Debt Reserve</v>
      </c>
      <c r="D281" s="11">
        <v>609.58</v>
      </c>
      <c r="E281" s="11">
        <v>609.58</v>
      </c>
      <c r="F281" s="11">
        <v>609.58</v>
      </c>
      <c r="G281" s="11">
        <v>609.58</v>
      </c>
      <c r="H281" s="11">
        <v>609.58</v>
      </c>
      <c r="I281" s="11">
        <v>609.58</v>
      </c>
      <c r="J281" s="11">
        <v>609.58</v>
      </c>
      <c r="K281" s="11">
        <v>609.58</v>
      </c>
      <c r="L281" s="11">
        <v>609.58</v>
      </c>
      <c r="M281" s="11">
        <v>609.58</v>
      </c>
      <c r="N281" s="11">
        <v>609.58</v>
      </c>
      <c r="O281" s="12">
        <v>600.58</v>
      </c>
      <c r="P281" s="11">
        <f>SUM(D281:O281)</f>
        <v>7305.96</v>
      </c>
    </row>
    <row r="282" spans="3:16" ht="12.75">
      <c r="C282" s="9" t="str">
        <f>C276</f>
        <v>Treasury Fee</v>
      </c>
      <c r="D282" s="11">
        <v>250</v>
      </c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2"/>
      <c r="P282" s="11">
        <f>SUM(D282:O282)</f>
        <v>250</v>
      </c>
    </row>
    <row r="283" spans="3:16" ht="13.5" thickBot="1">
      <c r="C283" s="9" t="str">
        <f>C277</f>
        <v>Intercept</v>
      </c>
      <c r="D283" s="11">
        <f aca="true" t="shared" si="73" ref="D283:N283">11250+29092.08</f>
        <v>40342.08</v>
      </c>
      <c r="E283" s="11">
        <f t="shared" si="73"/>
        <v>40342.08</v>
      </c>
      <c r="F283" s="11">
        <f t="shared" si="73"/>
        <v>40342.08</v>
      </c>
      <c r="G283" s="11">
        <f t="shared" si="73"/>
        <v>40342.08</v>
      </c>
      <c r="H283" s="11">
        <f t="shared" si="73"/>
        <v>40342.08</v>
      </c>
      <c r="I283" s="11">
        <f t="shared" si="73"/>
        <v>40342.08</v>
      </c>
      <c r="J283" s="11">
        <f t="shared" si="73"/>
        <v>40342.08</v>
      </c>
      <c r="K283" s="11">
        <f t="shared" si="73"/>
        <v>40342.08</v>
      </c>
      <c r="L283" s="11">
        <f t="shared" si="73"/>
        <v>40342.08</v>
      </c>
      <c r="M283" s="11">
        <f t="shared" si="73"/>
        <v>40342.08</v>
      </c>
      <c r="N283" s="11">
        <f t="shared" si="73"/>
        <v>40342.08</v>
      </c>
      <c r="O283" s="12">
        <f>11666.67+28670.21</f>
        <v>40336.88</v>
      </c>
      <c r="P283" s="11">
        <f>SUM(D283:O283)</f>
        <v>484099.7600000001</v>
      </c>
    </row>
    <row r="284" spans="3:16" ht="13.5" thickBot="1">
      <c r="C284" s="33" t="s">
        <v>102</v>
      </c>
      <c r="D284" s="18">
        <f aca="true" t="shared" si="74" ref="D284:P284">SUM(D281:D283)</f>
        <v>41201.66</v>
      </c>
      <c r="E284" s="18">
        <f t="shared" si="74"/>
        <v>40951.66</v>
      </c>
      <c r="F284" s="18">
        <f t="shared" si="74"/>
        <v>40951.66</v>
      </c>
      <c r="G284" s="18">
        <f t="shared" si="74"/>
        <v>40951.66</v>
      </c>
      <c r="H284" s="18">
        <f t="shared" si="74"/>
        <v>40951.66</v>
      </c>
      <c r="I284" s="18">
        <f t="shared" si="74"/>
        <v>40951.66</v>
      </c>
      <c r="J284" s="18">
        <f t="shared" si="74"/>
        <v>40951.66</v>
      </c>
      <c r="K284" s="18">
        <f t="shared" si="74"/>
        <v>40951.66</v>
      </c>
      <c r="L284" s="18">
        <f t="shared" si="74"/>
        <v>40951.66</v>
      </c>
      <c r="M284" s="18">
        <f t="shared" si="74"/>
        <v>40951.66</v>
      </c>
      <c r="N284" s="18">
        <f t="shared" si="74"/>
        <v>40951.66</v>
      </c>
      <c r="O284" s="19">
        <f t="shared" si="74"/>
        <v>40937.46</v>
      </c>
      <c r="P284" s="20">
        <f t="shared" si="74"/>
        <v>491655.72000000015</v>
      </c>
    </row>
    <row r="285" spans="3:16" ht="12.75">
      <c r="C285" s="34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1"/>
      <c r="P285" s="30"/>
    </row>
    <row r="286" spans="1:16" ht="21">
      <c r="A286" s="35">
        <f>+A280+1</f>
        <v>37</v>
      </c>
      <c r="B286" s="21" t="s">
        <v>8</v>
      </c>
      <c r="C286" s="36" t="s">
        <v>103</v>
      </c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1"/>
      <c r="P286" s="30"/>
    </row>
    <row r="287" spans="3:16" ht="12.75">
      <c r="C287" s="9" t="str">
        <f>C281</f>
        <v>Debt Reserve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2">
        <v>0</v>
      </c>
      <c r="P287" s="11">
        <f>SUM(D287:O287)</f>
        <v>0</v>
      </c>
    </row>
    <row r="288" spans="3:16" ht="12.75">
      <c r="C288" s="9" t="str">
        <f>C282</f>
        <v>Treasury Fee</v>
      </c>
      <c r="D288" s="11">
        <v>250</v>
      </c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2"/>
      <c r="P288" s="11">
        <f>SUM(D288:O288)</f>
        <v>250</v>
      </c>
    </row>
    <row r="289" spans="3:16" ht="13.5" thickBot="1">
      <c r="C289" s="9" t="str">
        <f>C283</f>
        <v>Intercept</v>
      </c>
      <c r="D289" s="11">
        <v>17750</v>
      </c>
      <c r="E289" s="11">
        <v>17750</v>
      </c>
      <c r="F289" s="11">
        <v>17750</v>
      </c>
      <c r="G289" s="11">
        <v>17750</v>
      </c>
      <c r="H289" s="11">
        <v>17750</v>
      </c>
      <c r="I289" s="11">
        <v>17750</v>
      </c>
      <c r="J289" s="11">
        <v>17750</v>
      </c>
      <c r="K289" s="11">
        <v>17750</v>
      </c>
      <c r="L289" s="11">
        <v>17750</v>
      </c>
      <c r="M289" s="11">
        <v>17750</v>
      </c>
      <c r="N289" s="11">
        <v>17750</v>
      </c>
      <c r="O289" s="12">
        <v>17750</v>
      </c>
      <c r="P289" s="11">
        <f>SUM(D289:O289)</f>
        <v>213000</v>
      </c>
    </row>
    <row r="290" spans="3:16" ht="13.5" thickBot="1">
      <c r="C290" s="33" t="s">
        <v>104</v>
      </c>
      <c r="D290" s="18">
        <f aca="true" t="shared" si="75" ref="D290:P290">SUM(D287:D289)</f>
        <v>18000</v>
      </c>
      <c r="E290" s="18">
        <f t="shared" si="75"/>
        <v>17750</v>
      </c>
      <c r="F290" s="18">
        <f t="shared" si="75"/>
        <v>17750</v>
      </c>
      <c r="G290" s="18">
        <f t="shared" si="75"/>
        <v>17750</v>
      </c>
      <c r="H290" s="18">
        <f t="shared" si="75"/>
        <v>17750</v>
      </c>
      <c r="I290" s="18">
        <f t="shared" si="75"/>
        <v>17750</v>
      </c>
      <c r="J290" s="18">
        <f t="shared" si="75"/>
        <v>17750</v>
      </c>
      <c r="K290" s="18">
        <f t="shared" si="75"/>
        <v>17750</v>
      </c>
      <c r="L290" s="18">
        <f t="shared" si="75"/>
        <v>17750</v>
      </c>
      <c r="M290" s="18">
        <f t="shared" si="75"/>
        <v>17750</v>
      </c>
      <c r="N290" s="18">
        <f t="shared" si="75"/>
        <v>17750</v>
      </c>
      <c r="O290" s="19">
        <f t="shared" si="75"/>
        <v>17750</v>
      </c>
      <c r="P290" s="20">
        <f t="shared" si="75"/>
        <v>213250</v>
      </c>
    </row>
    <row r="291" spans="3:16" ht="12.75">
      <c r="C291" s="34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1"/>
      <c r="P291" s="30"/>
    </row>
    <row r="292" spans="1:16" ht="21">
      <c r="A292" s="35">
        <f>+A286+1</f>
        <v>38</v>
      </c>
      <c r="B292" s="37"/>
      <c r="C292" s="32" t="s">
        <v>105</v>
      </c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1"/>
      <c r="P292" s="30"/>
    </row>
    <row r="293" spans="3:16" ht="12.75">
      <c r="C293" s="9" t="str">
        <f>C287</f>
        <v>Debt Reserve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2">
        <v>0</v>
      </c>
      <c r="P293" s="11">
        <f>SUM(D293:O293)</f>
        <v>0</v>
      </c>
    </row>
    <row r="294" spans="3:16" ht="12.75">
      <c r="C294" s="9" t="str">
        <f>C288</f>
        <v>Treasury Fee</v>
      </c>
      <c r="D294" s="11">
        <v>250</v>
      </c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2"/>
      <c r="P294" s="11">
        <f>SUM(D294:O294)</f>
        <v>250</v>
      </c>
    </row>
    <row r="295" spans="3:16" ht="13.5" thickBot="1">
      <c r="C295" s="9" t="str">
        <f>C289</f>
        <v>Intercept</v>
      </c>
      <c r="D295" s="11">
        <f>14166.67+60353.65</f>
        <v>74520.32</v>
      </c>
      <c r="E295" s="11">
        <f>14166.67+60353.65</f>
        <v>74520.32</v>
      </c>
      <c r="F295" s="11">
        <f>14166.67+60353.65</f>
        <v>74520.32</v>
      </c>
      <c r="G295" s="11">
        <f>15416.67+59374.48</f>
        <v>74791.15000000001</v>
      </c>
      <c r="H295" s="11">
        <f aca="true" t="shared" si="76" ref="H295:O295">15416.67+59374.48</f>
        <v>74791.15000000001</v>
      </c>
      <c r="I295" s="11">
        <f t="shared" si="76"/>
        <v>74791.15000000001</v>
      </c>
      <c r="J295" s="11">
        <f t="shared" si="76"/>
        <v>74791.15000000001</v>
      </c>
      <c r="K295" s="11">
        <f t="shared" si="76"/>
        <v>74791.15000000001</v>
      </c>
      <c r="L295" s="11">
        <f t="shared" si="76"/>
        <v>74791.15000000001</v>
      </c>
      <c r="M295" s="11">
        <f t="shared" si="76"/>
        <v>74791.15000000001</v>
      </c>
      <c r="N295" s="11">
        <f t="shared" si="76"/>
        <v>74791.15000000001</v>
      </c>
      <c r="O295" s="12">
        <f t="shared" si="76"/>
        <v>74791.15000000001</v>
      </c>
      <c r="P295" s="11">
        <f>SUM(D295:O295)</f>
        <v>896681.3100000002</v>
      </c>
    </row>
    <row r="296" spans="3:16" ht="13.5" thickBot="1">
      <c r="C296" s="33" t="s">
        <v>106</v>
      </c>
      <c r="D296" s="18">
        <f aca="true" t="shared" si="77" ref="D296:P296">SUM(D293:D295)</f>
        <v>74770.32</v>
      </c>
      <c r="E296" s="18">
        <f t="shared" si="77"/>
        <v>74520.32</v>
      </c>
      <c r="F296" s="18">
        <f t="shared" si="77"/>
        <v>74520.32</v>
      </c>
      <c r="G296" s="18">
        <f t="shared" si="77"/>
        <v>74791.15000000001</v>
      </c>
      <c r="H296" s="18">
        <f t="shared" si="77"/>
        <v>74791.15000000001</v>
      </c>
      <c r="I296" s="18">
        <f t="shared" si="77"/>
        <v>74791.15000000001</v>
      </c>
      <c r="J296" s="18">
        <f t="shared" si="77"/>
        <v>74791.15000000001</v>
      </c>
      <c r="K296" s="18">
        <f t="shared" si="77"/>
        <v>74791.15000000001</v>
      </c>
      <c r="L296" s="18">
        <f t="shared" si="77"/>
        <v>74791.15000000001</v>
      </c>
      <c r="M296" s="18">
        <f t="shared" si="77"/>
        <v>74791.15000000001</v>
      </c>
      <c r="N296" s="18">
        <f t="shared" si="77"/>
        <v>74791.15000000001</v>
      </c>
      <c r="O296" s="19">
        <f t="shared" si="77"/>
        <v>74791.15000000001</v>
      </c>
      <c r="P296" s="20">
        <f t="shared" si="77"/>
        <v>896931.3100000002</v>
      </c>
    </row>
    <row r="297" spans="3:16" ht="12.75">
      <c r="C297" s="34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1"/>
      <c r="P297" s="30"/>
    </row>
    <row r="298" spans="1:16" ht="21">
      <c r="A298" s="35">
        <f>+A292+1</f>
        <v>39</v>
      </c>
      <c r="B298" s="23" t="s">
        <v>11</v>
      </c>
      <c r="C298" s="38" t="s">
        <v>107</v>
      </c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1"/>
      <c r="P298" s="30"/>
    </row>
    <row r="299" spans="3:16" ht="12.75">
      <c r="C299" s="9" t="str">
        <f>C293</f>
        <v>Debt Reserve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/>
      <c r="L299" s="11">
        <v>0</v>
      </c>
      <c r="M299" s="11">
        <v>0</v>
      </c>
      <c r="N299" s="11">
        <v>0</v>
      </c>
      <c r="O299" s="12"/>
      <c r="P299" s="11">
        <f>SUM(D299:O299)</f>
        <v>0</v>
      </c>
    </row>
    <row r="300" spans="3:16" ht="12.75">
      <c r="C300" s="9" t="str">
        <f>C294</f>
        <v>Treasury Fee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2"/>
      <c r="P300" s="11">
        <f>SUM(D300:O300)</f>
        <v>0</v>
      </c>
    </row>
    <row r="301" spans="3:16" ht="13.5" thickBot="1">
      <c r="C301" s="9" t="str">
        <f>C295</f>
        <v>Intercept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/>
      <c r="L301" s="11">
        <v>0</v>
      </c>
      <c r="M301" s="11">
        <v>0</v>
      </c>
      <c r="N301" s="11">
        <v>0</v>
      </c>
      <c r="O301" s="12"/>
      <c r="P301" s="11">
        <f>SUM(D301:O301)</f>
        <v>0</v>
      </c>
    </row>
    <row r="302" spans="3:16" ht="13.5" thickBot="1">
      <c r="C302" s="33" t="s">
        <v>108</v>
      </c>
      <c r="D302" s="18">
        <f aca="true" t="shared" si="78" ref="D302:P302">SUM(D299:D301)</f>
        <v>0</v>
      </c>
      <c r="E302" s="18">
        <f t="shared" si="78"/>
        <v>0</v>
      </c>
      <c r="F302" s="18">
        <f t="shared" si="78"/>
        <v>0</v>
      </c>
      <c r="G302" s="18">
        <f t="shared" si="78"/>
        <v>0</v>
      </c>
      <c r="H302" s="18">
        <f t="shared" si="78"/>
        <v>0</v>
      </c>
      <c r="I302" s="18">
        <f t="shared" si="78"/>
        <v>0</v>
      </c>
      <c r="J302" s="18">
        <f t="shared" si="78"/>
        <v>0</v>
      </c>
      <c r="K302" s="18">
        <f t="shared" si="78"/>
        <v>0</v>
      </c>
      <c r="L302" s="18">
        <f t="shared" si="78"/>
        <v>0</v>
      </c>
      <c r="M302" s="18">
        <f t="shared" si="78"/>
        <v>0</v>
      </c>
      <c r="N302" s="18">
        <f t="shared" si="78"/>
        <v>0</v>
      </c>
      <c r="O302" s="18">
        <f t="shared" si="78"/>
        <v>0</v>
      </c>
      <c r="P302" s="20">
        <f t="shared" si="78"/>
        <v>0</v>
      </c>
    </row>
    <row r="303" spans="3:16" ht="12.75">
      <c r="C303" s="34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1"/>
      <c r="P303" s="30"/>
    </row>
    <row r="304" spans="1:16" ht="21">
      <c r="A304" s="35">
        <f>+A298+1</f>
        <v>40</v>
      </c>
      <c r="B304" s="37"/>
      <c r="C304" s="10" t="s">
        <v>109</v>
      </c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1"/>
      <c r="P304" s="30"/>
    </row>
    <row r="305" spans="3:16" ht="12.75">
      <c r="C305" s="9" t="str">
        <f>C299</f>
        <v>Debt Reserve</v>
      </c>
      <c r="D305" s="25">
        <v>0</v>
      </c>
      <c r="E305" s="25">
        <f>883.75+883.75</f>
        <v>1767.5</v>
      </c>
      <c r="F305" s="11">
        <v>883.75</v>
      </c>
      <c r="G305" s="11">
        <v>883.75</v>
      </c>
      <c r="H305" s="11">
        <v>883.75</v>
      </c>
      <c r="I305" s="11">
        <v>883.75</v>
      </c>
      <c r="J305" s="11">
        <v>870.42</v>
      </c>
      <c r="K305" s="11">
        <v>870.42</v>
      </c>
      <c r="L305" s="11">
        <v>870.42</v>
      </c>
      <c r="M305" s="11">
        <v>870.42</v>
      </c>
      <c r="N305" s="11">
        <v>870.42</v>
      </c>
      <c r="O305" s="12">
        <v>870.42</v>
      </c>
      <c r="P305" s="11">
        <f>SUM(D305:O305)</f>
        <v>10525.02</v>
      </c>
    </row>
    <row r="306" spans="3:16" ht="12.75">
      <c r="C306" s="9" t="str">
        <f>C300</f>
        <v>Treasury Fee</v>
      </c>
      <c r="D306" s="11">
        <v>250</v>
      </c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2"/>
      <c r="P306" s="11">
        <f>SUM(D306:O306)</f>
        <v>250</v>
      </c>
    </row>
    <row r="307" spans="3:16" ht="13.5" thickBot="1">
      <c r="C307" s="9" t="str">
        <f>C301</f>
        <v>Intercept</v>
      </c>
      <c r="D307" s="25">
        <v>0</v>
      </c>
      <c r="E307" s="25">
        <f>14166.67+44430.73+14166.67+44430.73</f>
        <v>117194.80000000002</v>
      </c>
      <c r="F307" s="11">
        <f aca="true" t="shared" si="79" ref="F307:N307">14166.67+44430.73</f>
        <v>58597.4</v>
      </c>
      <c r="G307" s="11">
        <f t="shared" si="79"/>
        <v>58597.4</v>
      </c>
      <c r="H307" s="11">
        <f t="shared" si="79"/>
        <v>58597.4</v>
      </c>
      <c r="I307" s="11">
        <f t="shared" si="79"/>
        <v>58597.4</v>
      </c>
      <c r="J307" s="11">
        <f t="shared" si="79"/>
        <v>58597.4</v>
      </c>
      <c r="K307" s="11">
        <f t="shared" si="79"/>
        <v>58597.4</v>
      </c>
      <c r="L307" s="11">
        <f t="shared" si="79"/>
        <v>58597.4</v>
      </c>
      <c r="M307" s="11">
        <f t="shared" si="79"/>
        <v>58597.4</v>
      </c>
      <c r="N307" s="11">
        <f t="shared" si="79"/>
        <v>58597.4</v>
      </c>
      <c r="O307" s="12">
        <f>14583.33+43864.06</f>
        <v>58447.39</v>
      </c>
      <c r="P307" s="11">
        <f>SUM(D307:O307)</f>
        <v>703018.7900000002</v>
      </c>
    </row>
    <row r="308" spans="3:16" ht="13.5" thickBot="1">
      <c r="C308" s="17" t="s">
        <v>110</v>
      </c>
      <c r="D308" s="18">
        <f aca="true" t="shared" si="80" ref="D308:P308">SUM(D305:D307)</f>
        <v>250</v>
      </c>
      <c r="E308" s="18">
        <f t="shared" si="80"/>
        <v>118962.30000000002</v>
      </c>
      <c r="F308" s="18">
        <f t="shared" si="80"/>
        <v>59481.15</v>
      </c>
      <c r="G308" s="18">
        <f t="shared" si="80"/>
        <v>59481.15</v>
      </c>
      <c r="H308" s="18">
        <f t="shared" si="80"/>
        <v>59481.15</v>
      </c>
      <c r="I308" s="18">
        <f t="shared" si="80"/>
        <v>59481.15</v>
      </c>
      <c r="J308" s="18">
        <f t="shared" si="80"/>
        <v>59467.82</v>
      </c>
      <c r="K308" s="18">
        <f t="shared" si="80"/>
        <v>59467.82</v>
      </c>
      <c r="L308" s="18">
        <f t="shared" si="80"/>
        <v>59467.82</v>
      </c>
      <c r="M308" s="18">
        <f t="shared" si="80"/>
        <v>59467.82</v>
      </c>
      <c r="N308" s="18">
        <f t="shared" si="80"/>
        <v>59467.82</v>
      </c>
      <c r="O308" s="19">
        <f t="shared" si="80"/>
        <v>59317.81</v>
      </c>
      <c r="P308" s="20">
        <f t="shared" si="80"/>
        <v>713793.8100000002</v>
      </c>
    </row>
    <row r="309" spans="3:16" ht="12.75">
      <c r="C309" s="34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1"/>
      <c r="P309" s="30"/>
    </row>
    <row r="310" spans="1:16" ht="21">
      <c r="A310" s="35">
        <f>+A304+1</f>
        <v>41</v>
      </c>
      <c r="B310" s="37"/>
      <c r="C310" s="10" t="s">
        <v>111</v>
      </c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1"/>
      <c r="P310" s="30"/>
    </row>
    <row r="311" spans="3:16" ht="12.75">
      <c r="C311" s="9" t="str">
        <f>C305</f>
        <v>Debt Reserve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2">
        <v>0</v>
      </c>
      <c r="P311" s="11">
        <f>SUM(D311:O311)</f>
        <v>0</v>
      </c>
    </row>
    <row r="312" spans="3:16" ht="12.75">
      <c r="C312" s="9" t="str">
        <f>C306</f>
        <v>Treasury Fee</v>
      </c>
      <c r="D312" s="11">
        <v>250</v>
      </c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2"/>
      <c r="P312" s="11">
        <f>SUM(D312:O312)</f>
        <v>250</v>
      </c>
    </row>
    <row r="313" spans="3:16" ht="13.5" thickBot="1">
      <c r="C313" s="9" t="str">
        <f>C307</f>
        <v>Intercept</v>
      </c>
      <c r="D313" s="11">
        <f>10000+45960.42</f>
        <v>55960.42</v>
      </c>
      <c r="E313" s="11">
        <f aca="true" t="shared" si="81" ref="E313:O313">10000+45960.42</f>
        <v>55960.42</v>
      </c>
      <c r="F313" s="11">
        <f t="shared" si="81"/>
        <v>55960.42</v>
      </c>
      <c r="G313" s="11">
        <f t="shared" si="81"/>
        <v>55960.42</v>
      </c>
      <c r="H313" s="11">
        <f t="shared" si="81"/>
        <v>55960.42</v>
      </c>
      <c r="I313" s="11">
        <f t="shared" si="81"/>
        <v>55960.42</v>
      </c>
      <c r="J313" s="11">
        <f t="shared" si="81"/>
        <v>55960.42</v>
      </c>
      <c r="K313" s="11">
        <f t="shared" si="81"/>
        <v>55960.42</v>
      </c>
      <c r="L313" s="11">
        <f t="shared" si="81"/>
        <v>55960.42</v>
      </c>
      <c r="M313" s="11">
        <f t="shared" si="81"/>
        <v>55960.42</v>
      </c>
      <c r="N313" s="11">
        <f t="shared" si="81"/>
        <v>55960.42</v>
      </c>
      <c r="O313" s="12">
        <f t="shared" si="81"/>
        <v>55960.42</v>
      </c>
      <c r="P313" s="11">
        <f>SUM(D313:O313)</f>
        <v>671525.04</v>
      </c>
    </row>
    <row r="314" spans="3:16" ht="13.5" thickBot="1">
      <c r="C314" s="17" t="s">
        <v>112</v>
      </c>
      <c r="D314" s="18">
        <f aca="true" t="shared" si="82" ref="D314:P314">SUM(D311:D313)</f>
        <v>56210.42</v>
      </c>
      <c r="E314" s="18">
        <f t="shared" si="82"/>
        <v>55960.42</v>
      </c>
      <c r="F314" s="18">
        <f t="shared" si="82"/>
        <v>55960.42</v>
      </c>
      <c r="G314" s="18">
        <f t="shared" si="82"/>
        <v>55960.42</v>
      </c>
      <c r="H314" s="18">
        <f t="shared" si="82"/>
        <v>55960.42</v>
      </c>
      <c r="I314" s="18">
        <f t="shared" si="82"/>
        <v>55960.42</v>
      </c>
      <c r="J314" s="18">
        <f t="shared" si="82"/>
        <v>55960.42</v>
      </c>
      <c r="K314" s="18">
        <f t="shared" si="82"/>
        <v>55960.42</v>
      </c>
      <c r="L314" s="18">
        <f t="shared" si="82"/>
        <v>55960.42</v>
      </c>
      <c r="M314" s="18">
        <f t="shared" si="82"/>
        <v>55960.42</v>
      </c>
      <c r="N314" s="18">
        <f t="shared" si="82"/>
        <v>55960.42</v>
      </c>
      <c r="O314" s="19">
        <f t="shared" si="82"/>
        <v>55960.42</v>
      </c>
      <c r="P314" s="20">
        <f t="shared" si="82"/>
        <v>671775.04</v>
      </c>
    </row>
    <row r="315" spans="3:16" ht="12.75">
      <c r="C315" s="34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1"/>
      <c r="P315" s="30"/>
    </row>
    <row r="316" spans="1:16" ht="21">
      <c r="A316" s="35">
        <f>+A310+1</f>
        <v>42</v>
      </c>
      <c r="B316" s="37"/>
      <c r="C316" s="10" t="s">
        <v>113</v>
      </c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1"/>
      <c r="P316" s="30"/>
    </row>
    <row r="317" spans="3:16" ht="12.75">
      <c r="C317" s="9" t="str">
        <f>C311</f>
        <v>Debt Reserve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2">
        <v>0</v>
      </c>
      <c r="P317" s="11">
        <f>SUM(D317:O317)</f>
        <v>0</v>
      </c>
    </row>
    <row r="318" spans="3:16" ht="12.75">
      <c r="C318" s="9" t="str">
        <f>C312</f>
        <v>Treasury Fee</v>
      </c>
      <c r="D318" s="11">
        <v>250</v>
      </c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2"/>
      <c r="P318" s="11">
        <f>SUM(D318:O318)</f>
        <v>250</v>
      </c>
    </row>
    <row r="319" spans="3:16" ht="13.5" thickBot="1">
      <c r="C319" s="9" t="str">
        <f>C313</f>
        <v>Intercept</v>
      </c>
      <c r="D319" s="11">
        <f aca="true" t="shared" si="83" ref="D319:L319">833.33+27155.21</f>
        <v>27988.54</v>
      </c>
      <c r="E319" s="11">
        <f t="shared" si="83"/>
        <v>27988.54</v>
      </c>
      <c r="F319" s="11">
        <f t="shared" si="83"/>
        <v>27988.54</v>
      </c>
      <c r="G319" s="11">
        <f t="shared" si="83"/>
        <v>27988.54</v>
      </c>
      <c r="H319" s="11">
        <f t="shared" si="83"/>
        <v>27988.54</v>
      </c>
      <c r="I319" s="11">
        <f t="shared" si="83"/>
        <v>27988.54</v>
      </c>
      <c r="J319" s="11">
        <f t="shared" si="83"/>
        <v>27988.54</v>
      </c>
      <c r="K319" s="11">
        <f t="shared" si="83"/>
        <v>27988.54</v>
      </c>
      <c r="L319" s="11">
        <f t="shared" si="83"/>
        <v>27988.54</v>
      </c>
      <c r="M319" s="11">
        <f>2083.33+27088.54</f>
        <v>29171.870000000003</v>
      </c>
      <c r="N319" s="11">
        <f>2083.33+27088.54</f>
        <v>29171.870000000003</v>
      </c>
      <c r="O319" s="12">
        <f>2083.33+27088.54</f>
        <v>29171.870000000003</v>
      </c>
      <c r="P319" s="11">
        <f>SUM(D319:O319)</f>
        <v>339412.47000000003</v>
      </c>
    </row>
    <row r="320" spans="3:16" ht="13.5" thickBot="1">
      <c r="C320" s="17" t="s">
        <v>114</v>
      </c>
      <c r="D320" s="18">
        <f aca="true" t="shared" si="84" ref="D320:P320">SUM(D317:D319)</f>
        <v>28238.54</v>
      </c>
      <c r="E320" s="18">
        <f t="shared" si="84"/>
        <v>27988.54</v>
      </c>
      <c r="F320" s="18">
        <f t="shared" si="84"/>
        <v>27988.54</v>
      </c>
      <c r="G320" s="18">
        <f t="shared" si="84"/>
        <v>27988.54</v>
      </c>
      <c r="H320" s="18">
        <f t="shared" si="84"/>
        <v>27988.54</v>
      </c>
      <c r="I320" s="18">
        <f t="shared" si="84"/>
        <v>27988.54</v>
      </c>
      <c r="J320" s="18">
        <f t="shared" si="84"/>
        <v>27988.54</v>
      </c>
      <c r="K320" s="18">
        <f t="shared" si="84"/>
        <v>27988.54</v>
      </c>
      <c r="L320" s="18">
        <f t="shared" si="84"/>
        <v>27988.54</v>
      </c>
      <c r="M320" s="18">
        <f t="shared" si="84"/>
        <v>29171.870000000003</v>
      </c>
      <c r="N320" s="18">
        <f t="shared" si="84"/>
        <v>29171.870000000003</v>
      </c>
      <c r="O320" s="19">
        <f t="shared" si="84"/>
        <v>29171.870000000003</v>
      </c>
      <c r="P320" s="20">
        <f t="shared" si="84"/>
        <v>339662.47000000003</v>
      </c>
    </row>
    <row r="321" spans="3:16" ht="12.75">
      <c r="C321" s="29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1"/>
      <c r="P321" s="30"/>
    </row>
    <row r="322" spans="1:16" ht="21">
      <c r="A322" s="35">
        <f>+A316+1</f>
        <v>43</v>
      </c>
      <c r="B322" s="37"/>
      <c r="C322" s="10" t="s">
        <v>115</v>
      </c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1"/>
      <c r="P322" s="30"/>
    </row>
    <row r="323" spans="3:16" ht="12.75">
      <c r="C323" s="9" t="str">
        <f>C317</f>
        <v>Debt Reserve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2">
        <v>0</v>
      </c>
      <c r="P323" s="11">
        <f>SUM(D323:O323)</f>
        <v>0</v>
      </c>
    </row>
    <row r="324" spans="3:16" ht="12.75">
      <c r="C324" s="9" t="str">
        <f>C318</f>
        <v>Treasury Fee</v>
      </c>
      <c r="D324" s="11">
        <v>250</v>
      </c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2"/>
      <c r="P324" s="11">
        <f>SUM(D324:O324)</f>
        <v>250</v>
      </c>
    </row>
    <row r="325" spans="3:16" ht="13.5" thickBot="1">
      <c r="C325" s="9" t="str">
        <f>C319</f>
        <v>Intercept</v>
      </c>
      <c r="D325" s="11">
        <v>29417</v>
      </c>
      <c r="E325" s="11">
        <v>29417</v>
      </c>
      <c r="F325" s="11">
        <v>29417</v>
      </c>
      <c r="G325" s="11">
        <v>29417</v>
      </c>
      <c r="H325" s="11">
        <v>29417</v>
      </c>
      <c r="I325" s="11">
        <v>29417</v>
      </c>
      <c r="J325" s="11">
        <v>29417</v>
      </c>
      <c r="K325" s="11">
        <v>29417</v>
      </c>
      <c r="L325" s="11">
        <v>29417</v>
      </c>
      <c r="M325" s="11">
        <v>29417</v>
      </c>
      <c r="N325" s="11">
        <v>29417</v>
      </c>
      <c r="O325" s="12">
        <v>29417</v>
      </c>
      <c r="P325" s="11">
        <f>SUM(D325:O325)</f>
        <v>353004</v>
      </c>
    </row>
    <row r="326" spans="3:16" ht="13.5" thickBot="1">
      <c r="C326" s="17" t="s">
        <v>116</v>
      </c>
      <c r="D326" s="18">
        <f aca="true" t="shared" si="85" ref="D326:P326">SUM(D323:D325)</f>
        <v>29667</v>
      </c>
      <c r="E326" s="18">
        <f t="shared" si="85"/>
        <v>29417</v>
      </c>
      <c r="F326" s="18">
        <f t="shared" si="85"/>
        <v>29417</v>
      </c>
      <c r="G326" s="18">
        <f t="shared" si="85"/>
        <v>29417</v>
      </c>
      <c r="H326" s="18">
        <f t="shared" si="85"/>
        <v>29417</v>
      </c>
      <c r="I326" s="18">
        <f t="shared" si="85"/>
        <v>29417</v>
      </c>
      <c r="J326" s="18">
        <f t="shared" si="85"/>
        <v>29417</v>
      </c>
      <c r="K326" s="18">
        <f t="shared" si="85"/>
        <v>29417</v>
      </c>
      <c r="L326" s="18">
        <f t="shared" si="85"/>
        <v>29417</v>
      </c>
      <c r="M326" s="18">
        <f t="shared" si="85"/>
        <v>29417</v>
      </c>
      <c r="N326" s="18">
        <f t="shared" si="85"/>
        <v>29417</v>
      </c>
      <c r="O326" s="19">
        <f t="shared" si="85"/>
        <v>29417</v>
      </c>
      <c r="P326" s="20">
        <f t="shared" si="85"/>
        <v>353254</v>
      </c>
    </row>
    <row r="327" spans="3:16" ht="12.75">
      <c r="C327" s="29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1"/>
      <c r="P327" s="30"/>
    </row>
    <row r="328" spans="1:16" ht="21">
      <c r="A328" s="35">
        <f>+A322+1</f>
        <v>44</v>
      </c>
      <c r="B328" s="37"/>
      <c r="C328" s="10" t="s">
        <v>117</v>
      </c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1"/>
      <c r="P328" s="30"/>
    </row>
    <row r="329" spans="3:16" ht="12.75">
      <c r="C329" s="9" t="str">
        <f>C323</f>
        <v>Debt Reserve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2">
        <v>0</v>
      </c>
      <c r="P329" s="11">
        <f>SUM(D329:O329)</f>
        <v>0</v>
      </c>
    </row>
    <row r="330" spans="3:16" ht="12.75">
      <c r="C330" s="9" t="str">
        <f>C324</f>
        <v>Treasury Fee</v>
      </c>
      <c r="D330" s="11">
        <v>250</v>
      </c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2"/>
      <c r="P330" s="11">
        <f>SUM(D330:O330)</f>
        <v>250</v>
      </c>
    </row>
    <row r="331" spans="3:16" ht="13.5" thickBot="1">
      <c r="C331" s="9" t="str">
        <f>C325</f>
        <v>Intercept</v>
      </c>
      <c r="D331" s="11">
        <f aca="true" t="shared" si="86" ref="D331:M331">6250+35885.42</f>
        <v>42135.42</v>
      </c>
      <c r="E331" s="11">
        <f t="shared" si="86"/>
        <v>42135.42</v>
      </c>
      <c r="F331" s="11">
        <f t="shared" si="86"/>
        <v>42135.42</v>
      </c>
      <c r="G331" s="11">
        <f t="shared" si="86"/>
        <v>42135.42</v>
      </c>
      <c r="H331" s="11">
        <f t="shared" si="86"/>
        <v>42135.42</v>
      </c>
      <c r="I331" s="11">
        <f t="shared" si="86"/>
        <v>42135.42</v>
      </c>
      <c r="J331" s="11">
        <f t="shared" si="86"/>
        <v>42135.42</v>
      </c>
      <c r="K331" s="11">
        <f t="shared" si="86"/>
        <v>42135.42</v>
      </c>
      <c r="L331" s="11">
        <f t="shared" si="86"/>
        <v>42135.42</v>
      </c>
      <c r="M331" s="11">
        <f t="shared" si="86"/>
        <v>42135.42</v>
      </c>
      <c r="N331" s="11">
        <f>6666.67+35471.35</f>
        <v>42138.02</v>
      </c>
      <c r="O331" s="12">
        <f>6666.67+35471.35</f>
        <v>42138.02</v>
      </c>
      <c r="P331" s="11">
        <f>SUM(D331:O331)</f>
        <v>505630.23999999993</v>
      </c>
    </row>
    <row r="332" spans="3:16" ht="13.5" thickBot="1">
      <c r="C332" s="17" t="s">
        <v>118</v>
      </c>
      <c r="D332" s="18">
        <f aca="true" t="shared" si="87" ref="D332:P332">SUM(D329:D331)</f>
        <v>42385.42</v>
      </c>
      <c r="E332" s="18">
        <f t="shared" si="87"/>
        <v>42135.42</v>
      </c>
      <c r="F332" s="18">
        <f t="shared" si="87"/>
        <v>42135.42</v>
      </c>
      <c r="G332" s="18">
        <f t="shared" si="87"/>
        <v>42135.42</v>
      </c>
      <c r="H332" s="18">
        <f t="shared" si="87"/>
        <v>42135.42</v>
      </c>
      <c r="I332" s="18">
        <f t="shared" si="87"/>
        <v>42135.42</v>
      </c>
      <c r="J332" s="18">
        <f t="shared" si="87"/>
        <v>42135.42</v>
      </c>
      <c r="K332" s="18">
        <f t="shared" si="87"/>
        <v>42135.42</v>
      </c>
      <c r="L332" s="18">
        <f t="shared" si="87"/>
        <v>42135.42</v>
      </c>
      <c r="M332" s="18">
        <f t="shared" si="87"/>
        <v>42135.42</v>
      </c>
      <c r="N332" s="18">
        <f t="shared" si="87"/>
        <v>42138.02</v>
      </c>
      <c r="O332" s="19">
        <f t="shared" si="87"/>
        <v>42138.02</v>
      </c>
      <c r="P332" s="20">
        <f t="shared" si="87"/>
        <v>505880.23999999993</v>
      </c>
    </row>
    <row r="333" spans="3:16" ht="12.75">
      <c r="C333" s="29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1"/>
      <c r="P333" s="30"/>
    </row>
    <row r="334" spans="1:16" ht="21">
      <c r="A334" s="35">
        <f>+A328+1</f>
        <v>45</v>
      </c>
      <c r="B334" s="37"/>
      <c r="C334" s="10" t="s">
        <v>119</v>
      </c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1"/>
      <c r="P334" s="30"/>
    </row>
    <row r="335" spans="3:16" ht="12.75">
      <c r="C335" s="9" t="str">
        <f>C329</f>
        <v>Debt Reserve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2">
        <v>0</v>
      </c>
      <c r="P335" s="11">
        <f>SUM(D335:O335)</f>
        <v>0</v>
      </c>
    </row>
    <row r="336" spans="3:16" ht="12.75">
      <c r="C336" s="9" t="str">
        <f>C330</f>
        <v>Treasury Fee</v>
      </c>
      <c r="D336" s="11">
        <v>250</v>
      </c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2"/>
      <c r="P336" s="11">
        <f>SUM(D336:O336)</f>
        <v>250</v>
      </c>
    </row>
    <row r="337" spans="3:16" ht="13.5" thickBot="1">
      <c r="C337" s="9" t="str">
        <f>C331</f>
        <v>Intercept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2">
        <v>77603.13</v>
      </c>
      <c r="P337" s="11">
        <f>SUM(D337:O337)</f>
        <v>77603.13</v>
      </c>
    </row>
    <row r="338" spans="3:16" ht="13.5" thickBot="1">
      <c r="C338" s="17" t="s">
        <v>120</v>
      </c>
      <c r="D338" s="18">
        <f aca="true" t="shared" si="88" ref="D338:P338">SUM(D335:D337)</f>
        <v>250</v>
      </c>
      <c r="E338" s="18">
        <f t="shared" si="88"/>
        <v>0</v>
      </c>
      <c r="F338" s="18">
        <f t="shared" si="88"/>
        <v>0</v>
      </c>
      <c r="G338" s="18">
        <f t="shared" si="88"/>
        <v>0</v>
      </c>
      <c r="H338" s="18">
        <f t="shared" si="88"/>
        <v>0</v>
      </c>
      <c r="I338" s="18">
        <f t="shared" si="88"/>
        <v>0</v>
      </c>
      <c r="J338" s="18">
        <f t="shared" si="88"/>
        <v>0</v>
      </c>
      <c r="K338" s="18">
        <f t="shared" si="88"/>
        <v>0</v>
      </c>
      <c r="L338" s="18">
        <f t="shared" si="88"/>
        <v>0</v>
      </c>
      <c r="M338" s="18">
        <f t="shared" si="88"/>
        <v>0</v>
      </c>
      <c r="N338" s="18">
        <f t="shared" si="88"/>
        <v>0</v>
      </c>
      <c r="O338" s="19">
        <f t="shared" si="88"/>
        <v>77603.13</v>
      </c>
      <c r="P338" s="20">
        <f t="shared" si="88"/>
        <v>77853.13</v>
      </c>
    </row>
    <row r="339" spans="3:16" ht="12.75">
      <c r="C339" s="29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1"/>
      <c r="P339" s="30"/>
    </row>
    <row r="340" spans="1:16" ht="21">
      <c r="A340" s="35">
        <f>+A334+1</f>
        <v>46</v>
      </c>
      <c r="B340" s="37"/>
      <c r="C340" s="10" t="s">
        <v>121</v>
      </c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1"/>
      <c r="P340" s="30"/>
    </row>
    <row r="341" spans="3:16" ht="12.75">
      <c r="C341" s="9" t="str">
        <f>C335</f>
        <v>Debt Reserve</v>
      </c>
      <c r="D341" s="11">
        <v>512.08</v>
      </c>
      <c r="E341" s="11">
        <v>512.08</v>
      </c>
      <c r="F341" s="11">
        <v>512.08</v>
      </c>
      <c r="G341" s="11">
        <v>512.08</v>
      </c>
      <c r="H341" s="11">
        <v>512.08</v>
      </c>
      <c r="I341" s="11">
        <v>512.08</v>
      </c>
      <c r="J341" s="11">
        <v>512.08</v>
      </c>
      <c r="K341" s="11">
        <v>512.08</v>
      </c>
      <c r="L341" s="11">
        <v>512.08</v>
      </c>
      <c r="M341" s="11">
        <v>512.08</v>
      </c>
      <c r="N341" s="11">
        <v>512.08</v>
      </c>
      <c r="O341" s="12">
        <v>512.08</v>
      </c>
      <c r="P341" s="11">
        <f>SUM(D341:O341)</f>
        <v>6144.96</v>
      </c>
    </row>
    <row r="342" spans="3:16" ht="12.75">
      <c r="C342" s="9" t="str">
        <f>C336</f>
        <v>Treasury Fee</v>
      </c>
      <c r="D342" s="11">
        <v>250</v>
      </c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2"/>
      <c r="P342" s="11">
        <f>SUM(D342:O342)</f>
        <v>250</v>
      </c>
    </row>
    <row r="343" spans="3:16" ht="13.5" thickBot="1">
      <c r="C343" s="9" t="str">
        <f>C337</f>
        <v>Intercept</v>
      </c>
      <c r="D343" s="11">
        <v>28804.69</v>
      </c>
      <c r="E343" s="11">
        <v>28804.69</v>
      </c>
      <c r="F343" s="11">
        <v>28804.69</v>
      </c>
      <c r="G343" s="11">
        <v>28804.69</v>
      </c>
      <c r="H343" s="11">
        <v>28804.69</v>
      </c>
      <c r="I343" s="11">
        <v>28804.69</v>
      </c>
      <c r="J343" s="11">
        <v>28804.69</v>
      </c>
      <c r="K343" s="11">
        <v>28804.69</v>
      </c>
      <c r="L343" s="11">
        <v>28804.69</v>
      </c>
      <c r="M343" s="11">
        <v>28804.69</v>
      </c>
      <c r="N343" s="11">
        <v>28804.69</v>
      </c>
      <c r="O343" s="12">
        <v>28804.69</v>
      </c>
      <c r="P343" s="11">
        <f>SUM(D343:O343)</f>
        <v>345656.27999999997</v>
      </c>
    </row>
    <row r="344" spans="3:16" ht="13.5" thickBot="1">
      <c r="C344" s="17" t="s">
        <v>36</v>
      </c>
      <c r="D344" s="18">
        <f aca="true" t="shared" si="89" ref="D344:P344">SUM(D341:D343)</f>
        <v>29566.77</v>
      </c>
      <c r="E344" s="18">
        <f t="shared" si="89"/>
        <v>29316.77</v>
      </c>
      <c r="F344" s="18">
        <f t="shared" si="89"/>
        <v>29316.77</v>
      </c>
      <c r="G344" s="18">
        <f t="shared" si="89"/>
        <v>29316.77</v>
      </c>
      <c r="H344" s="18">
        <f t="shared" si="89"/>
        <v>29316.77</v>
      </c>
      <c r="I344" s="18">
        <f t="shared" si="89"/>
        <v>29316.77</v>
      </c>
      <c r="J344" s="18">
        <f t="shared" si="89"/>
        <v>29316.77</v>
      </c>
      <c r="K344" s="18">
        <f t="shared" si="89"/>
        <v>29316.77</v>
      </c>
      <c r="L344" s="18">
        <f t="shared" si="89"/>
        <v>29316.77</v>
      </c>
      <c r="M344" s="18">
        <f t="shared" si="89"/>
        <v>29316.77</v>
      </c>
      <c r="N344" s="18">
        <f t="shared" si="89"/>
        <v>29316.77</v>
      </c>
      <c r="O344" s="19">
        <f t="shared" si="89"/>
        <v>29316.77</v>
      </c>
      <c r="P344" s="20">
        <f t="shared" si="89"/>
        <v>352051.24</v>
      </c>
    </row>
    <row r="345" spans="3:16" ht="12.75">
      <c r="C345" s="29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1"/>
      <c r="P345" s="30"/>
    </row>
    <row r="346" spans="1:16" ht="21">
      <c r="A346" s="35">
        <f>+A340+1</f>
        <v>47</v>
      </c>
      <c r="B346" s="37"/>
      <c r="C346" s="10" t="s">
        <v>122</v>
      </c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1"/>
      <c r="P346" s="30"/>
    </row>
    <row r="347" spans="3:16" ht="12.75">
      <c r="C347" s="9" t="str">
        <f>C341</f>
        <v>Debt Reserve</v>
      </c>
      <c r="D347" s="11">
        <v>1419.17</v>
      </c>
      <c r="E347" s="11">
        <v>1419.17</v>
      </c>
      <c r="F347" s="11">
        <v>1419.17</v>
      </c>
      <c r="G347" s="11">
        <v>1419.17</v>
      </c>
      <c r="H347" s="11">
        <v>1419.17</v>
      </c>
      <c r="I347" s="11">
        <v>1419.17</v>
      </c>
      <c r="J347" s="11">
        <v>1419.17</v>
      </c>
      <c r="K347" s="11">
        <v>1419.17</v>
      </c>
      <c r="L347" s="11">
        <v>1419.17</v>
      </c>
      <c r="M347" s="11">
        <v>1419.17</v>
      </c>
      <c r="N347" s="11">
        <v>1419.17</v>
      </c>
      <c r="O347" s="12">
        <v>1419.17</v>
      </c>
      <c r="P347" s="11">
        <f>SUM(D347:O347)</f>
        <v>17030.04</v>
      </c>
    </row>
    <row r="348" spans="3:16" ht="12.75">
      <c r="C348" s="9" t="str">
        <f>C342</f>
        <v>Treasury Fee</v>
      </c>
      <c r="D348" s="11">
        <v>250</v>
      </c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2"/>
      <c r="P348" s="11">
        <f>SUM(D348:O348)</f>
        <v>250</v>
      </c>
    </row>
    <row r="349" spans="3:16" ht="13.5" thickBot="1">
      <c r="C349" s="9" t="str">
        <f>C343</f>
        <v>Intercept</v>
      </c>
      <c r="D349" s="11">
        <v>0</v>
      </c>
      <c r="E349" s="11">
        <v>0</v>
      </c>
      <c r="F349" s="11">
        <v>0</v>
      </c>
      <c r="G349" s="11">
        <v>105756.25</v>
      </c>
      <c r="H349" s="11">
        <v>105756.25</v>
      </c>
      <c r="I349" s="11">
        <f aca="true" t="shared" si="90" ref="I349:O349">12916.67+105756.25</f>
        <v>118672.92</v>
      </c>
      <c r="J349" s="11">
        <f t="shared" si="90"/>
        <v>118672.92</v>
      </c>
      <c r="K349" s="11">
        <f t="shared" si="90"/>
        <v>118672.92</v>
      </c>
      <c r="L349" s="11">
        <f t="shared" si="90"/>
        <v>118672.92</v>
      </c>
      <c r="M349" s="11">
        <f t="shared" si="90"/>
        <v>118672.92</v>
      </c>
      <c r="N349" s="11">
        <f t="shared" si="90"/>
        <v>118672.92</v>
      </c>
      <c r="O349" s="12">
        <f t="shared" si="90"/>
        <v>118672.92</v>
      </c>
      <c r="P349" s="11">
        <f>SUM(D349:O349)</f>
        <v>1042222.9400000002</v>
      </c>
    </row>
    <row r="350" spans="3:16" ht="13.5" thickBot="1">
      <c r="C350" s="17" t="s">
        <v>123</v>
      </c>
      <c r="D350" s="18">
        <f aca="true" t="shared" si="91" ref="D350:P350">SUM(D347:D349)</f>
        <v>1669.17</v>
      </c>
      <c r="E350" s="18">
        <f t="shared" si="91"/>
        <v>1419.17</v>
      </c>
      <c r="F350" s="18">
        <f t="shared" si="91"/>
        <v>1419.17</v>
      </c>
      <c r="G350" s="18">
        <f t="shared" si="91"/>
        <v>107175.42</v>
      </c>
      <c r="H350" s="18">
        <f t="shared" si="91"/>
        <v>107175.42</v>
      </c>
      <c r="I350" s="18">
        <f t="shared" si="91"/>
        <v>120092.09</v>
      </c>
      <c r="J350" s="18">
        <f t="shared" si="91"/>
        <v>120092.09</v>
      </c>
      <c r="K350" s="18">
        <f t="shared" si="91"/>
        <v>120092.09</v>
      </c>
      <c r="L350" s="18">
        <f t="shared" si="91"/>
        <v>120092.09</v>
      </c>
      <c r="M350" s="18">
        <f t="shared" si="91"/>
        <v>120092.09</v>
      </c>
      <c r="N350" s="18">
        <f t="shared" si="91"/>
        <v>120092.09</v>
      </c>
      <c r="O350" s="19">
        <f t="shared" si="91"/>
        <v>120092.09</v>
      </c>
      <c r="P350" s="20">
        <f t="shared" si="91"/>
        <v>1059502.9800000002</v>
      </c>
    </row>
    <row r="351" spans="3:16" ht="12.75">
      <c r="C351" s="29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1"/>
      <c r="P351" s="30"/>
    </row>
    <row r="352" spans="1:16" ht="21">
      <c r="A352" s="35">
        <f>+A346+1</f>
        <v>48</v>
      </c>
      <c r="B352" s="37"/>
      <c r="C352" s="10" t="s">
        <v>124</v>
      </c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1"/>
      <c r="P352" s="30"/>
    </row>
    <row r="353" spans="3:16" ht="12.75">
      <c r="C353" s="9" t="str">
        <f>C347</f>
        <v>Debt Reserve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2">
        <v>0</v>
      </c>
      <c r="P353" s="11">
        <f>SUM(D353:O353)</f>
        <v>0</v>
      </c>
    </row>
    <row r="354" spans="3:16" ht="12.75">
      <c r="C354" s="9" t="str">
        <f>C348</f>
        <v>Treasury Fee</v>
      </c>
      <c r="D354" s="11">
        <v>250</v>
      </c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2"/>
      <c r="P354" s="11">
        <f>SUM(D354:O354)</f>
        <v>250</v>
      </c>
    </row>
    <row r="355" spans="3:16" ht="13.5" thickBot="1">
      <c r="C355" s="9" t="str">
        <f>C349</f>
        <v>Intercept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f>7500+68536.59</f>
        <v>76036.59</v>
      </c>
      <c r="K355" s="11">
        <f>7500+68536.59</f>
        <v>76036.59</v>
      </c>
      <c r="L355" s="11">
        <f>7500+68536.59</f>
        <v>76036.59</v>
      </c>
      <c r="M355" s="11">
        <f>7500+68536.59</f>
        <v>76036.59</v>
      </c>
      <c r="N355" s="11">
        <f>7500+75453.13</f>
        <v>82953.13</v>
      </c>
      <c r="O355" s="12">
        <f>7500+75453.13</f>
        <v>82953.13</v>
      </c>
      <c r="P355" s="11">
        <f>SUM(D355:O355)</f>
        <v>470052.62</v>
      </c>
    </row>
    <row r="356" spans="3:16" ht="13.5" thickBot="1">
      <c r="C356" s="17" t="s">
        <v>125</v>
      </c>
      <c r="D356" s="18">
        <f aca="true" t="shared" si="92" ref="D356:P356">SUM(D353:D355)</f>
        <v>250</v>
      </c>
      <c r="E356" s="18">
        <f t="shared" si="92"/>
        <v>0</v>
      </c>
      <c r="F356" s="18">
        <f t="shared" si="92"/>
        <v>0</v>
      </c>
      <c r="G356" s="18">
        <f t="shared" si="92"/>
        <v>0</v>
      </c>
      <c r="H356" s="18">
        <f t="shared" si="92"/>
        <v>0</v>
      </c>
      <c r="I356" s="18">
        <f t="shared" si="92"/>
        <v>0</v>
      </c>
      <c r="J356" s="18">
        <f t="shared" si="92"/>
        <v>76036.59</v>
      </c>
      <c r="K356" s="18">
        <f t="shared" si="92"/>
        <v>76036.59</v>
      </c>
      <c r="L356" s="18">
        <f t="shared" si="92"/>
        <v>76036.59</v>
      </c>
      <c r="M356" s="18">
        <f t="shared" si="92"/>
        <v>76036.59</v>
      </c>
      <c r="N356" s="18">
        <f t="shared" si="92"/>
        <v>82953.13</v>
      </c>
      <c r="O356" s="19">
        <f t="shared" si="92"/>
        <v>82953.13</v>
      </c>
      <c r="P356" s="20">
        <f t="shared" si="92"/>
        <v>470302.62</v>
      </c>
    </row>
    <row r="357" spans="3:16" ht="12.75">
      <c r="C357" s="29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1"/>
      <c r="P357" s="30"/>
    </row>
    <row r="358" spans="1:16" ht="21">
      <c r="A358" s="35">
        <f>+A352+1</f>
        <v>49</v>
      </c>
      <c r="B358" s="37"/>
      <c r="C358" s="10" t="s">
        <v>126</v>
      </c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1"/>
      <c r="P358" s="30"/>
    </row>
    <row r="359" spans="3:16" ht="12.75">
      <c r="C359" s="9" t="str">
        <f>C353</f>
        <v>Debt Reserve</v>
      </c>
      <c r="D359" s="11">
        <v>1186.25</v>
      </c>
      <c r="E359" s="11">
        <v>1186.25</v>
      </c>
      <c r="F359" s="11">
        <v>1186.25</v>
      </c>
      <c r="G359" s="11">
        <v>1186.25</v>
      </c>
      <c r="H359" s="11">
        <v>1186.25</v>
      </c>
      <c r="I359" s="11">
        <v>1186.25</v>
      </c>
      <c r="J359" s="11">
        <v>1186.25</v>
      </c>
      <c r="K359" s="11">
        <v>1186.25</v>
      </c>
      <c r="L359" s="11">
        <v>1186.25</v>
      </c>
      <c r="M359" s="11">
        <v>1186.25</v>
      </c>
      <c r="N359" s="11">
        <v>1186.25</v>
      </c>
      <c r="O359" s="12">
        <v>1186.25</v>
      </c>
      <c r="P359" s="11">
        <f>SUM(D359:O359)</f>
        <v>14235</v>
      </c>
    </row>
    <row r="360" spans="3:16" ht="12.75">
      <c r="C360" s="9" t="str">
        <f>C354</f>
        <v>Treasury Fee</v>
      </c>
      <c r="D360" s="11">
        <v>250</v>
      </c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2"/>
      <c r="P360" s="11">
        <f>SUM(D360:O360)</f>
        <v>250</v>
      </c>
    </row>
    <row r="361" spans="3:16" ht="13.5" thickBot="1">
      <c r="C361" s="9" t="str">
        <f>C355</f>
        <v>Intercept</v>
      </c>
      <c r="D361" s="11">
        <v>78415.39</v>
      </c>
      <c r="E361" s="11">
        <v>78415.39</v>
      </c>
      <c r="F361" s="11">
        <v>78415.39</v>
      </c>
      <c r="G361" s="11">
        <v>78415.39</v>
      </c>
      <c r="H361" s="11">
        <v>80426.04</v>
      </c>
      <c r="I361" s="11">
        <v>80426.04</v>
      </c>
      <c r="J361" s="11">
        <v>80426.04</v>
      </c>
      <c r="K361" s="11">
        <v>80426.04</v>
      </c>
      <c r="L361" s="11">
        <v>80426.04</v>
      </c>
      <c r="M361" s="11">
        <v>80426.04</v>
      </c>
      <c r="N361" s="11">
        <v>80426.04</v>
      </c>
      <c r="O361" s="12">
        <v>80426.04</v>
      </c>
      <c r="P361" s="11">
        <f>SUM(D361:O361)</f>
        <v>957069.8800000001</v>
      </c>
    </row>
    <row r="362" spans="3:16" ht="13.5" thickBot="1">
      <c r="C362" s="17" t="s">
        <v>127</v>
      </c>
      <c r="D362" s="18">
        <f aca="true" t="shared" si="93" ref="D362:P362">SUM(D359:D361)</f>
        <v>79851.64</v>
      </c>
      <c r="E362" s="18">
        <f t="shared" si="93"/>
        <v>79601.64</v>
      </c>
      <c r="F362" s="18">
        <f t="shared" si="93"/>
        <v>79601.64</v>
      </c>
      <c r="G362" s="18">
        <f t="shared" si="93"/>
        <v>79601.64</v>
      </c>
      <c r="H362" s="18">
        <f t="shared" si="93"/>
        <v>81612.29</v>
      </c>
      <c r="I362" s="18">
        <f t="shared" si="93"/>
        <v>81612.29</v>
      </c>
      <c r="J362" s="18">
        <f t="shared" si="93"/>
        <v>81612.29</v>
      </c>
      <c r="K362" s="18">
        <f t="shared" si="93"/>
        <v>81612.29</v>
      </c>
      <c r="L362" s="18">
        <f t="shared" si="93"/>
        <v>81612.29</v>
      </c>
      <c r="M362" s="18">
        <f t="shared" si="93"/>
        <v>81612.29</v>
      </c>
      <c r="N362" s="18">
        <f t="shared" si="93"/>
        <v>81612.29</v>
      </c>
      <c r="O362" s="19">
        <f t="shared" si="93"/>
        <v>81612.29</v>
      </c>
      <c r="P362" s="20">
        <f t="shared" si="93"/>
        <v>971554.8800000001</v>
      </c>
    </row>
    <row r="363" spans="3:16" ht="12.75">
      <c r="C363" s="29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1"/>
      <c r="P363" s="30"/>
    </row>
    <row r="364" spans="1:16" ht="21">
      <c r="A364" s="35">
        <f>+A358+1</f>
        <v>50</v>
      </c>
      <c r="B364" s="37"/>
      <c r="C364" s="10" t="s">
        <v>128</v>
      </c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1"/>
      <c r="P364" s="30"/>
    </row>
    <row r="365" spans="1:16" ht="12.75">
      <c r="A365" s="39"/>
      <c r="B365" s="39"/>
      <c r="C365" s="9" t="str">
        <f>C359</f>
        <v>Debt Reserve</v>
      </c>
      <c r="D365" s="11">
        <v>1068.75</v>
      </c>
      <c r="E365" s="11">
        <v>1068.75</v>
      </c>
      <c r="F365" s="11">
        <v>1068.75</v>
      </c>
      <c r="G365" s="11">
        <v>1068.75</v>
      </c>
      <c r="H365" s="11">
        <v>1068.75</v>
      </c>
      <c r="I365" s="11">
        <v>1062.5</v>
      </c>
      <c r="J365" s="11">
        <v>1062.5</v>
      </c>
      <c r="K365" s="11">
        <v>1062.5</v>
      </c>
      <c r="L365" s="11">
        <v>1062.5</v>
      </c>
      <c r="M365" s="11">
        <v>1062.5</v>
      </c>
      <c r="N365" s="11">
        <v>1062.5</v>
      </c>
      <c r="O365" s="12">
        <v>1062.5</v>
      </c>
      <c r="P365" s="11">
        <f>SUM(D365:O365)</f>
        <v>12781.25</v>
      </c>
    </row>
    <row r="366" spans="3:16" ht="12.75">
      <c r="C366" s="9" t="str">
        <f>C360</f>
        <v>Treasury Fee</v>
      </c>
      <c r="D366" s="11">
        <v>250</v>
      </c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2"/>
      <c r="P366" s="11">
        <f>SUM(D366:O366)</f>
        <v>250</v>
      </c>
    </row>
    <row r="367" spans="3:16" ht="13.5" thickBot="1">
      <c r="C367" s="9" t="str">
        <f>C361</f>
        <v>Intercept</v>
      </c>
      <c r="D367" s="11">
        <f>10714.29+85440.83</f>
        <v>96155.12</v>
      </c>
      <c r="E367" s="11">
        <f>10714.29+85440.83</f>
        <v>96155.12</v>
      </c>
      <c r="F367" s="11">
        <f>10714.29+85440.83</f>
        <v>96155.12</v>
      </c>
      <c r="G367" s="11">
        <f>10714.29+85440.83</f>
        <v>96155.12</v>
      </c>
      <c r="H367" s="11">
        <f>10714.29+85440.83</f>
        <v>96155.12</v>
      </c>
      <c r="I367" s="11">
        <f aca="true" t="shared" si="94" ref="I367:O367">12083.33+85018.96</f>
        <v>97102.29000000001</v>
      </c>
      <c r="J367" s="11">
        <f t="shared" si="94"/>
        <v>97102.29000000001</v>
      </c>
      <c r="K367" s="11">
        <f t="shared" si="94"/>
        <v>97102.29000000001</v>
      </c>
      <c r="L367" s="11">
        <f t="shared" si="94"/>
        <v>97102.29000000001</v>
      </c>
      <c r="M367" s="11">
        <f t="shared" si="94"/>
        <v>97102.29000000001</v>
      </c>
      <c r="N367" s="11">
        <f t="shared" si="94"/>
        <v>97102.29000000001</v>
      </c>
      <c r="O367" s="12">
        <f t="shared" si="94"/>
        <v>97102.29000000001</v>
      </c>
      <c r="P367" s="11">
        <f>SUM(D367:O367)</f>
        <v>1160491.6300000001</v>
      </c>
    </row>
    <row r="368" spans="3:16" ht="13.5" thickBot="1">
      <c r="C368" s="17" t="s">
        <v>129</v>
      </c>
      <c r="D368" s="18">
        <f aca="true" t="shared" si="95" ref="D368:P368">SUM(D365:D367)</f>
        <v>97473.87</v>
      </c>
      <c r="E368" s="18">
        <f t="shared" si="95"/>
        <v>97223.87</v>
      </c>
      <c r="F368" s="18">
        <f t="shared" si="95"/>
        <v>97223.87</v>
      </c>
      <c r="G368" s="18">
        <f t="shared" si="95"/>
        <v>97223.87</v>
      </c>
      <c r="H368" s="18">
        <f t="shared" si="95"/>
        <v>97223.87</v>
      </c>
      <c r="I368" s="18">
        <f t="shared" si="95"/>
        <v>98164.79000000001</v>
      </c>
      <c r="J368" s="18">
        <f t="shared" si="95"/>
        <v>98164.79000000001</v>
      </c>
      <c r="K368" s="18">
        <f t="shared" si="95"/>
        <v>98164.79000000001</v>
      </c>
      <c r="L368" s="18">
        <f t="shared" si="95"/>
        <v>98164.79000000001</v>
      </c>
      <c r="M368" s="18">
        <f t="shared" si="95"/>
        <v>98164.79000000001</v>
      </c>
      <c r="N368" s="18">
        <f t="shared" si="95"/>
        <v>98164.79000000001</v>
      </c>
      <c r="O368" s="19">
        <f t="shared" si="95"/>
        <v>98164.79000000001</v>
      </c>
      <c r="P368" s="20">
        <f t="shared" si="95"/>
        <v>1173522.8800000001</v>
      </c>
    </row>
    <row r="369" spans="3:16" ht="12.75">
      <c r="C369" s="29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1"/>
      <c r="P369" s="30"/>
    </row>
    <row r="370" spans="1:16" ht="21">
      <c r="A370" s="35">
        <f>+A364+1</f>
        <v>51</v>
      </c>
      <c r="B370" s="37"/>
      <c r="C370" s="10" t="s">
        <v>130</v>
      </c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1"/>
      <c r="P370" s="30"/>
    </row>
    <row r="371" spans="1:16" ht="12.75">
      <c r="A371" s="39"/>
      <c r="B371" s="39"/>
      <c r="C371" s="9" t="str">
        <f>C365</f>
        <v>Debt Reserve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2">
        <v>0</v>
      </c>
      <c r="P371" s="11">
        <f>SUM(D371:O371)</f>
        <v>0</v>
      </c>
    </row>
    <row r="372" spans="3:16" ht="12.75">
      <c r="C372" s="9" t="str">
        <f>C366</f>
        <v>Treasury Fee</v>
      </c>
      <c r="D372" s="11">
        <v>250</v>
      </c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2"/>
      <c r="P372" s="11">
        <f>SUM(D372:O372)</f>
        <v>250</v>
      </c>
    </row>
    <row r="373" spans="3:16" ht="13.5" thickBot="1">
      <c r="C373" s="9" t="str">
        <f>C367</f>
        <v>Intercept</v>
      </c>
      <c r="D373" s="11">
        <v>0</v>
      </c>
      <c r="E373" s="11">
        <v>0</v>
      </c>
      <c r="F373" s="11">
        <v>0</v>
      </c>
      <c r="G373" s="11">
        <f>833.33+9808.33</f>
        <v>10641.66</v>
      </c>
      <c r="H373" s="11">
        <f aca="true" t="shared" si="96" ref="H373:O373">833.33+9808.33</f>
        <v>10641.66</v>
      </c>
      <c r="I373" s="11">
        <f t="shared" si="96"/>
        <v>10641.66</v>
      </c>
      <c r="J373" s="11">
        <f t="shared" si="96"/>
        <v>10641.66</v>
      </c>
      <c r="K373" s="11">
        <f t="shared" si="96"/>
        <v>10641.66</v>
      </c>
      <c r="L373" s="11">
        <f t="shared" si="96"/>
        <v>10641.66</v>
      </c>
      <c r="M373" s="11">
        <f t="shared" si="96"/>
        <v>10641.66</v>
      </c>
      <c r="N373" s="11">
        <f t="shared" si="96"/>
        <v>10641.66</v>
      </c>
      <c r="O373" s="12">
        <f t="shared" si="96"/>
        <v>10641.66</v>
      </c>
      <c r="P373" s="11">
        <f>SUM(D373:O373)</f>
        <v>95774.94000000002</v>
      </c>
    </row>
    <row r="374" spans="3:16" ht="13.5" thickBot="1">
      <c r="C374" s="17" t="s">
        <v>106</v>
      </c>
      <c r="D374" s="18">
        <f aca="true" t="shared" si="97" ref="D374:P374">SUM(D371:D373)</f>
        <v>250</v>
      </c>
      <c r="E374" s="18">
        <f t="shared" si="97"/>
        <v>0</v>
      </c>
      <c r="F374" s="18">
        <f t="shared" si="97"/>
        <v>0</v>
      </c>
      <c r="G374" s="18">
        <f t="shared" si="97"/>
        <v>10641.66</v>
      </c>
      <c r="H374" s="18">
        <f t="shared" si="97"/>
        <v>10641.66</v>
      </c>
      <c r="I374" s="18">
        <f t="shared" si="97"/>
        <v>10641.66</v>
      </c>
      <c r="J374" s="18">
        <f t="shared" si="97"/>
        <v>10641.66</v>
      </c>
      <c r="K374" s="18">
        <f t="shared" si="97"/>
        <v>10641.66</v>
      </c>
      <c r="L374" s="18">
        <f t="shared" si="97"/>
        <v>10641.66</v>
      </c>
      <c r="M374" s="18">
        <f t="shared" si="97"/>
        <v>10641.66</v>
      </c>
      <c r="N374" s="18">
        <f t="shared" si="97"/>
        <v>10641.66</v>
      </c>
      <c r="O374" s="19">
        <f t="shared" si="97"/>
        <v>10641.66</v>
      </c>
      <c r="P374" s="20">
        <f t="shared" si="97"/>
        <v>96024.94000000002</v>
      </c>
    </row>
    <row r="375" spans="3:16" ht="12.75">
      <c r="C375" s="29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1"/>
      <c r="P375" s="30"/>
    </row>
    <row r="376" spans="1:16" ht="21">
      <c r="A376" s="35">
        <f>+A370+1</f>
        <v>52</v>
      </c>
      <c r="B376" s="37"/>
      <c r="C376" s="10" t="s">
        <v>131</v>
      </c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1"/>
      <c r="P376" s="30"/>
    </row>
    <row r="377" spans="1:16" ht="12.75">
      <c r="A377" s="39"/>
      <c r="B377" s="39"/>
      <c r="C377" s="9" t="str">
        <f>C371</f>
        <v>Debt Reserve</v>
      </c>
      <c r="D377" s="11">
        <v>0</v>
      </c>
      <c r="E377" s="11">
        <v>0</v>
      </c>
      <c r="F377" s="11">
        <v>0</v>
      </c>
      <c r="G377" s="11">
        <v>0</v>
      </c>
      <c r="H377" s="11">
        <v>1292.5</v>
      </c>
      <c r="I377" s="11">
        <v>646.25</v>
      </c>
      <c r="J377" s="11">
        <v>646.25</v>
      </c>
      <c r="K377" s="11">
        <v>646.25</v>
      </c>
      <c r="L377" s="11">
        <v>646.25</v>
      </c>
      <c r="M377" s="11">
        <v>646.25</v>
      </c>
      <c r="N377" s="11">
        <v>646.25</v>
      </c>
      <c r="O377" s="12">
        <v>646.25</v>
      </c>
      <c r="P377" s="11">
        <f>SUM(D377:O377)</f>
        <v>5816.25</v>
      </c>
    </row>
    <row r="378" spans="3:16" ht="12.75">
      <c r="C378" s="9" t="str">
        <f>C372</f>
        <v>Treasury Fee</v>
      </c>
      <c r="D378" s="11"/>
      <c r="E378" s="11"/>
      <c r="F378" s="11"/>
      <c r="G378" s="11"/>
      <c r="H378" s="11">
        <v>166.67</v>
      </c>
      <c r="I378" s="11"/>
      <c r="J378" s="11"/>
      <c r="K378" s="11"/>
      <c r="L378" s="11"/>
      <c r="M378" s="11"/>
      <c r="N378" s="11"/>
      <c r="O378" s="12"/>
      <c r="P378" s="11">
        <f>SUM(D378:O378)</f>
        <v>166.67</v>
      </c>
    </row>
    <row r="379" spans="3:16" ht="13.5" thickBot="1">
      <c r="C379" s="9" t="str">
        <f>C373</f>
        <v>Intercept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2">
        <v>0</v>
      </c>
      <c r="P379" s="11">
        <f>SUM(D379:O379)</f>
        <v>0</v>
      </c>
    </row>
    <row r="380" spans="3:16" ht="13.5" thickBot="1">
      <c r="C380" s="17" t="s">
        <v>132</v>
      </c>
      <c r="D380" s="18">
        <f aca="true" t="shared" si="98" ref="D380:P380">SUM(D377:D379)</f>
        <v>0</v>
      </c>
      <c r="E380" s="18">
        <f t="shared" si="98"/>
        <v>0</v>
      </c>
      <c r="F380" s="18">
        <f t="shared" si="98"/>
        <v>0</v>
      </c>
      <c r="G380" s="18">
        <f t="shared" si="98"/>
        <v>0</v>
      </c>
      <c r="H380" s="18">
        <f t="shared" si="98"/>
        <v>1459.17</v>
      </c>
      <c r="I380" s="18">
        <f t="shared" si="98"/>
        <v>646.25</v>
      </c>
      <c r="J380" s="18">
        <f t="shared" si="98"/>
        <v>646.25</v>
      </c>
      <c r="K380" s="18">
        <f t="shared" si="98"/>
        <v>646.25</v>
      </c>
      <c r="L380" s="18">
        <f t="shared" si="98"/>
        <v>646.25</v>
      </c>
      <c r="M380" s="18">
        <f t="shared" si="98"/>
        <v>646.25</v>
      </c>
      <c r="N380" s="18">
        <f t="shared" si="98"/>
        <v>646.25</v>
      </c>
      <c r="O380" s="19">
        <f t="shared" si="98"/>
        <v>646.25</v>
      </c>
      <c r="P380" s="20">
        <f t="shared" si="98"/>
        <v>5982.92</v>
      </c>
    </row>
    <row r="381" spans="3:16" ht="12.75">
      <c r="C381" s="29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1"/>
      <c r="P381" s="30"/>
    </row>
    <row r="382" spans="1:16" ht="21">
      <c r="A382" s="35">
        <f>+A376+1</f>
        <v>53</v>
      </c>
      <c r="B382" s="40" t="s">
        <v>8</v>
      </c>
      <c r="C382" s="22" t="s">
        <v>133</v>
      </c>
      <c r="J382" s="30"/>
      <c r="K382" s="30"/>
      <c r="L382" s="30"/>
      <c r="M382" s="30"/>
      <c r="N382" s="30"/>
      <c r="O382" s="31"/>
      <c r="P382" s="30"/>
    </row>
    <row r="383" spans="1:16" ht="12.75">
      <c r="A383" s="39"/>
      <c r="B383" s="39"/>
      <c r="C383" s="9" t="str">
        <f>C377</f>
        <v>Debt Reserve</v>
      </c>
      <c r="J383" s="11">
        <v>0</v>
      </c>
      <c r="K383" s="11">
        <v>2164.17</v>
      </c>
      <c r="L383" s="11">
        <v>1082.08</v>
      </c>
      <c r="M383" s="11">
        <v>1082.08</v>
      </c>
      <c r="N383" s="11">
        <v>1082.08</v>
      </c>
      <c r="O383" s="12">
        <v>1082.08</v>
      </c>
      <c r="P383" s="11">
        <f>SUM(D383:O383)</f>
        <v>6492.49</v>
      </c>
    </row>
    <row r="384" spans="3:16" ht="12.75">
      <c r="C384" s="9" t="str">
        <f>C378</f>
        <v>Treasury Fee</v>
      </c>
      <c r="J384" s="11"/>
      <c r="K384" s="11">
        <v>104.17</v>
      </c>
      <c r="L384" s="11"/>
      <c r="M384" s="11"/>
      <c r="N384" s="11"/>
      <c r="O384" s="12"/>
      <c r="P384" s="11">
        <f>SUM(D384:O384)</f>
        <v>104.17</v>
      </c>
    </row>
    <row r="385" spans="3:16" ht="13.5" thickBot="1">
      <c r="C385" s="9" t="str">
        <f>C379</f>
        <v>Intercept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2">
        <v>0</v>
      </c>
      <c r="P385" s="11">
        <f>SUM(D385:O385)</f>
        <v>0</v>
      </c>
    </row>
    <row r="386" spans="3:16" ht="13.5" thickBot="1">
      <c r="C386" s="17" t="s">
        <v>134</v>
      </c>
      <c r="D386" s="18">
        <f aca="true" t="shared" si="99" ref="D386:P386">SUM(D383:D385)</f>
        <v>0</v>
      </c>
      <c r="E386" s="18">
        <f t="shared" si="99"/>
        <v>0</v>
      </c>
      <c r="F386" s="18">
        <f t="shared" si="99"/>
        <v>0</v>
      </c>
      <c r="G386" s="18">
        <f t="shared" si="99"/>
        <v>0</v>
      </c>
      <c r="H386" s="18">
        <f t="shared" si="99"/>
        <v>0</v>
      </c>
      <c r="I386" s="18">
        <f t="shared" si="99"/>
        <v>0</v>
      </c>
      <c r="J386" s="18">
        <f t="shared" si="99"/>
        <v>0</v>
      </c>
      <c r="K386" s="18">
        <f t="shared" si="99"/>
        <v>2268.34</v>
      </c>
      <c r="L386" s="18">
        <f t="shared" si="99"/>
        <v>1082.08</v>
      </c>
      <c r="M386" s="18">
        <f t="shared" si="99"/>
        <v>1082.08</v>
      </c>
      <c r="N386" s="18">
        <f t="shared" si="99"/>
        <v>1082.08</v>
      </c>
      <c r="O386" s="19">
        <f t="shared" si="99"/>
        <v>1082.08</v>
      </c>
      <c r="P386" s="20">
        <f t="shared" si="99"/>
        <v>6596.66</v>
      </c>
    </row>
    <row r="387" spans="3:16" ht="12.75">
      <c r="C387" s="29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1"/>
      <c r="P387" s="30"/>
    </row>
    <row r="388" spans="1:16" ht="21">
      <c r="A388" s="35">
        <f>+A382+1</f>
        <v>54</v>
      </c>
      <c r="B388" s="40" t="s">
        <v>8</v>
      </c>
      <c r="C388" s="22" t="s">
        <v>135</v>
      </c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1"/>
      <c r="P388" s="30"/>
    </row>
    <row r="389" spans="1:16" ht="12.75">
      <c r="A389" s="39"/>
      <c r="B389" s="39"/>
      <c r="C389" s="9" t="str">
        <f>C383</f>
        <v>Debt Reserve</v>
      </c>
      <c r="D389" s="30"/>
      <c r="E389" s="30"/>
      <c r="F389" s="30"/>
      <c r="G389" s="30"/>
      <c r="H389" s="30"/>
      <c r="I389" s="30"/>
      <c r="J389" s="11">
        <v>0</v>
      </c>
      <c r="K389" s="11">
        <v>0</v>
      </c>
      <c r="L389" s="11">
        <v>0</v>
      </c>
      <c r="M389" s="11">
        <v>1084.55</v>
      </c>
      <c r="N389" s="11">
        <v>1084.55</v>
      </c>
      <c r="O389" s="12">
        <v>1084.55</v>
      </c>
      <c r="P389" s="11">
        <f>SUM(D389:O389)</f>
        <v>3253.6499999999996</v>
      </c>
    </row>
    <row r="390" spans="3:16" ht="12.75">
      <c r="C390" s="9" t="str">
        <f>C384</f>
        <v>Treasury Fee</v>
      </c>
      <c r="D390" s="30"/>
      <c r="E390" s="30"/>
      <c r="F390" s="30"/>
      <c r="G390" s="30"/>
      <c r="H390" s="30"/>
      <c r="I390" s="30"/>
      <c r="J390" s="11"/>
      <c r="K390" s="11"/>
      <c r="L390" s="11"/>
      <c r="M390" s="11">
        <v>62.5</v>
      </c>
      <c r="N390" s="11"/>
      <c r="O390" s="12"/>
      <c r="P390" s="11">
        <f>SUM(D390:O390)</f>
        <v>62.5</v>
      </c>
    </row>
    <row r="391" spans="3:16" ht="13.5" thickBot="1">
      <c r="C391" s="9" t="str">
        <f>C385</f>
        <v>Intercept</v>
      </c>
      <c r="D391" s="30"/>
      <c r="E391" s="30"/>
      <c r="F391" s="30"/>
      <c r="G391" s="30"/>
      <c r="H391" s="30"/>
      <c r="I391" s="30"/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2">
        <v>0</v>
      </c>
      <c r="P391" s="11">
        <f>SUM(D391:O391)</f>
        <v>0</v>
      </c>
    </row>
    <row r="392" spans="3:16" ht="13.5" thickBot="1">
      <c r="C392" s="17" t="s">
        <v>136</v>
      </c>
      <c r="D392" s="18">
        <f aca="true" t="shared" si="100" ref="D392:P392">SUM(D389:D391)</f>
        <v>0</v>
      </c>
      <c r="E392" s="18">
        <f t="shared" si="100"/>
        <v>0</v>
      </c>
      <c r="F392" s="18">
        <f t="shared" si="100"/>
        <v>0</v>
      </c>
      <c r="G392" s="18">
        <f t="shared" si="100"/>
        <v>0</v>
      </c>
      <c r="H392" s="18">
        <f t="shared" si="100"/>
        <v>0</v>
      </c>
      <c r="I392" s="18">
        <f t="shared" si="100"/>
        <v>0</v>
      </c>
      <c r="J392" s="18">
        <f t="shared" si="100"/>
        <v>0</v>
      </c>
      <c r="K392" s="18">
        <f t="shared" si="100"/>
        <v>0</v>
      </c>
      <c r="L392" s="18">
        <f t="shared" si="100"/>
        <v>0</v>
      </c>
      <c r="M392" s="18">
        <f t="shared" si="100"/>
        <v>1147.05</v>
      </c>
      <c r="N392" s="18">
        <f t="shared" si="100"/>
        <v>1084.55</v>
      </c>
      <c r="O392" s="19">
        <f t="shared" si="100"/>
        <v>1084.55</v>
      </c>
      <c r="P392" s="20">
        <f t="shared" si="100"/>
        <v>3316.1499999999996</v>
      </c>
    </row>
    <row r="393" spans="3:16" ht="12.75">
      <c r="C393" s="29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1"/>
      <c r="P393" s="30"/>
    </row>
    <row r="394" spans="1:16" ht="21">
      <c r="A394" s="35">
        <f>+A388+1</f>
        <v>55</v>
      </c>
      <c r="B394" s="40" t="s">
        <v>8</v>
      </c>
      <c r="C394" s="22" t="s">
        <v>137</v>
      </c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1"/>
      <c r="P394" s="30"/>
    </row>
    <row r="395" spans="1:16" ht="12.75">
      <c r="A395" s="39"/>
      <c r="B395" s="39"/>
      <c r="C395" s="9" t="str">
        <f>C389</f>
        <v>Debt Reserve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612.92</v>
      </c>
      <c r="N395" s="11">
        <v>612.92</v>
      </c>
      <c r="O395" s="12">
        <v>612.92</v>
      </c>
      <c r="P395" s="11">
        <f>SUM(D395:O395)</f>
        <v>1838.7599999999998</v>
      </c>
    </row>
    <row r="396" spans="3:16" ht="12.75">
      <c r="C396" s="9" t="str">
        <f>C390</f>
        <v>Treasury Fee</v>
      </c>
      <c r="D396" s="11"/>
      <c r="E396" s="11"/>
      <c r="F396" s="11"/>
      <c r="G396" s="11"/>
      <c r="H396" s="11"/>
      <c r="I396" s="11"/>
      <c r="J396" s="11"/>
      <c r="K396" s="11"/>
      <c r="L396" s="11"/>
      <c r="M396" s="11">
        <v>62.5</v>
      </c>
      <c r="N396" s="11"/>
      <c r="O396" s="12"/>
      <c r="P396" s="11">
        <f>SUM(D396:O396)</f>
        <v>62.5</v>
      </c>
    </row>
    <row r="397" spans="3:16" ht="13.5" thickBot="1">
      <c r="C397" s="9" t="str">
        <f>C391</f>
        <v>Intercept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f>27916+1562.5</f>
        <v>29478.5</v>
      </c>
      <c r="N397" s="11">
        <f>27916+1562.5</f>
        <v>29478.5</v>
      </c>
      <c r="O397" s="12">
        <f>27916+1562.5</f>
        <v>29478.5</v>
      </c>
      <c r="P397" s="11">
        <f>SUM(D397:O397)</f>
        <v>88435.5</v>
      </c>
    </row>
    <row r="398" spans="3:16" ht="13.5" thickBot="1">
      <c r="C398" s="17" t="s">
        <v>138</v>
      </c>
      <c r="D398" s="18">
        <f aca="true" t="shared" si="101" ref="D398:P398">SUM(D395:D397)</f>
        <v>0</v>
      </c>
      <c r="E398" s="18">
        <f t="shared" si="101"/>
        <v>0</v>
      </c>
      <c r="F398" s="18">
        <f t="shared" si="101"/>
        <v>0</v>
      </c>
      <c r="G398" s="18">
        <f t="shared" si="101"/>
        <v>0</v>
      </c>
      <c r="H398" s="18">
        <f t="shared" si="101"/>
        <v>0</v>
      </c>
      <c r="I398" s="18">
        <f t="shared" si="101"/>
        <v>0</v>
      </c>
      <c r="J398" s="18">
        <f t="shared" si="101"/>
        <v>0</v>
      </c>
      <c r="K398" s="18">
        <f t="shared" si="101"/>
        <v>0</v>
      </c>
      <c r="L398" s="18">
        <f t="shared" si="101"/>
        <v>0</v>
      </c>
      <c r="M398" s="18">
        <f t="shared" si="101"/>
        <v>30153.92</v>
      </c>
      <c r="N398" s="18">
        <f t="shared" si="101"/>
        <v>30091.42</v>
      </c>
      <c r="O398" s="19">
        <f t="shared" si="101"/>
        <v>30091.42</v>
      </c>
      <c r="P398" s="20">
        <f t="shared" si="101"/>
        <v>90336.76</v>
      </c>
    </row>
    <row r="399" spans="3:16" ht="12.75">
      <c r="C399" s="29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1"/>
      <c r="P399" s="30"/>
    </row>
    <row r="400" spans="3:16" ht="15.75">
      <c r="C400" s="10" t="s">
        <v>139</v>
      </c>
      <c r="K400" s="30"/>
      <c r="L400" s="30"/>
      <c r="M400" s="3"/>
      <c r="O400" s="31"/>
      <c r="P400" s="3"/>
    </row>
    <row r="401" spans="3:16" ht="15.75">
      <c r="C401" s="9" t="s">
        <v>140</v>
      </c>
      <c r="D401" s="41">
        <f>SUM(D5,D11,D17,D23,D29,D35,D41,D47,D53,D59,D65,D71,D77,D83,D89,D95,D101,D107,D113,D119,D125,D131,D137,D143,D149,D155,D161,D167,D173,D179)+SUM(D185,D191,D197,D203,D209,D215,D221,D227,D233,D239,D245,D251,D257,D263,D269,D275,D281,D287,D293,D299,D305,D311,D317,D323,D329,D335,D341,D347,D353,D359)+SUM(D365,D371,D377)</f>
        <v>27302.28</v>
      </c>
      <c r="E401" s="41">
        <f aca="true" t="shared" si="102" ref="E401:J404">SUM(E5,E11,E17,E23,E29,E35,E41,E47,E53,E59,E65,E71,E77,E83,E89,E95,E101,E107,E113,E119,E125,E131,E137,E143,E149,E155,E161,E167,E173,E179)+SUM(E185,E191,E197,E203,E209,E215,E221,E227,E233,E239,E245,E251,E257,E263,E269,E275,E281,E287,E293,E299,E305,E311,E317,E323,E329,E335,E341,E347,E353,E359)+SUM(E365,E371,E377)</f>
        <v>30980.62</v>
      </c>
      <c r="F401" s="41">
        <f t="shared" si="102"/>
        <v>29075.2</v>
      </c>
      <c r="G401" s="41">
        <f t="shared" si="102"/>
        <v>28966.03</v>
      </c>
      <c r="H401" s="41">
        <f t="shared" si="102"/>
        <v>30230.62</v>
      </c>
      <c r="I401" s="41">
        <f t="shared" si="102"/>
        <v>29565.62</v>
      </c>
      <c r="J401" s="41">
        <f t="shared" si="102"/>
        <v>29543.629999999997</v>
      </c>
      <c r="K401" s="41">
        <f>SUM(K5,K11,K17,K23,K29,K35,K41,K47,K53,K59,K65,K71,K77,K83,K89,K95,K101,K107,K113,K119,K125,K131,K137,K143,K149,K155,K161,K167,K173,K179)+SUM(K185,K191,K197,K203,K209,K215,K221,K227,K233,K239,K245,K251,K257,K263,K269,K275,K281,K287,K293,K299,K305,K311,K317,K323,K329,K335,K341,K347,K353,K359)+SUM(K365,K371,K377,K383)</f>
        <v>31707.799999999996</v>
      </c>
      <c r="L401" s="41">
        <f>SUM(L5,L11,L17,L23,L29,L35,L41,L47,L53,L59,L65,L71,L77,L83,L89,L95,L101,L107,L113,L119,L125,L131,L137,L143,L149,L155,L161,L167,L173,L179)+SUM(L185,L191,L197,L203,L209,L215,L221,L227,L233,L239,L245,L251,L257,L263,L269,L275,L281,L287,L293,L299,L305,L311,L317,L323,L329,L335,L341,L347,L353,L359)+SUM(L365,L371,L377,L383,L389)</f>
        <v>30618.21</v>
      </c>
      <c r="M401" s="41">
        <f>SUM(M5,M11,M17,M23,M29,M35,M41,M47,M53,M59,M65,M71,M77,M83,M89,M95,M101,M107,M113,M119,M125,M131,M137,M143,M149,M155,M161,M167,M173,M179)+SUM(M185,M191,M197,M203,M209,M215,M221,M227,M233,M239,M245,M251,M257,M263,M269,M275,M281,M287,M293,M299,M305,M311,M317,M323,M329,M335,M341,M347,M353,M359)+SUM(M365,M371,M377,M383,M389,M395)</f>
        <v>32247.359999999997</v>
      </c>
      <c r="N401" s="41">
        <f>SUM(N5,N11,N17,N23,N29,N35,N41,N47,N53,N59,N65,N71,N77,N83,N89,N95,N101,N107,N113,N119,N125,N131,N137,N143,N149,N155,N161,N167,N173,N179)+SUM(N185,N191,N197,N203,N209,N215,N221,N227,N233,N239,N245,N251,N257,N263,N269,N275,N281,N287,N293,N299,N305,N311,N317,N323,N329,N335,N341,N347,N353,N359)+SUM(N365,N371,N377,N383,N389,N395)</f>
        <v>32189.859999999997</v>
      </c>
      <c r="O401" s="42">
        <f>SUM(O5,O11,O17,O23,O29,O35,O41,O47,O53,O59,O65,O71,O77,O83,O89,O95,O101,O107,O113,O119,O125,O131,O137,O143,O149,O155,O161,O167,O173,O179)+SUM(O185,O191,O197,O203,O209,O215,O221,O227,O233,O239,O245,O251,O257,O263,O269,O275,O281,O287,O293,O299,O305,O311,O317,O323,O329,O335,O341,O347,O353,O359)+SUM(O365,O371,O377,O383,O389,O395)</f>
        <v>32062.53</v>
      </c>
      <c r="P401" s="41">
        <f>SUM(P5,P11,P17,P23,P29,P35,P41,P47,P53,P59,P65,P71,P77,P83,P89,P95,P101,P107,P113,P119,P125,P131,P137,P143,P149,P155,P161,P167,P173,P179)+SUM(P185,P191,P197,P203,P209,P215,P221,P227,P233,P239,P245,P251,P257,P263,P269,P275,P281,P287,P293,P299,P305,P311,P317,P323,P329,P335,P341,P347,P353,P359)+SUM(P365,P371,P377,P383,P389,P395)</f>
        <v>364489.76</v>
      </c>
    </row>
    <row r="402" spans="3:16" ht="15.75">
      <c r="C402" s="9" t="s">
        <v>141</v>
      </c>
      <c r="D402" s="41">
        <f>SUM(D6,D12,D18,D24,D30,D36,D42,D48,D54,D60,D66,D72,D78,D84,D90,D96,D102,D108,D114,D120,D126,D132,D138,D144,D150,D156,D162,D168,D174,D180)+SUM(D186,D192,D198,D204,D210,D216,D222,D228,D234,D240,D246,D252,D258,D264,D270,D276,D282,D288,D294,D300,D306,D312,D318,D324,D330,D336,D342,D348,D354,D360)+SUM(D366,D372,D378)</f>
        <v>12499.99</v>
      </c>
      <c r="E402" s="41">
        <f t="shared" si="102"/>
        <v>0</v>
      </c>
      <c r="F402" s="41">
        <f t="shared" si="102"/>
        <v>0</v>
      </c>
      <c r="G402" s="41">
        <f t="shared" si="102"/>
        <v>0</v>
      </c>
      <c r="H402" s="41">
        <f t="shared" si="102"/>
        <v>166.67</v>
      </c>
      <c r="I402" s="41">
        <f t="shared" si="102"/>
        <v>0</v>
      </c>
      <c r="J402" s="41">
        <f t="shared" si="102"/>
        <v>0</v>
      </c>
      <c r="K402" s="41">
        <f>SUM(K6,K12,K18,K24,K30,K36,K42,K48,K54,K60,K66,K72,K78,K84,K90,K96,K102,K108,K114,K120,K126,K132,K138,K144,K150,K156,K162,K168,K174,K180)+SUM(K186,K192,K198,K204,K210,K216,K222,K228,K234,K240,K246,K252,K258,K264,K270,K276,K282,K288,K294,K300,K306,K312,K318,K324,K330,K336,K342,K348,K354,K360)+SUM(K366,K372,K378,K384)</f>
        <v>104.17</v>
      </c>
      <c r="L402" s="41">
        <f>SUM(L6,L12,L18,L24,L30,L36,L42,L48,L54,L60,L66,L72,L78,L84,L90,L96,L102,L108,L114,L120,L126,L132,L138,L144,L150,L156,L162,L168,L174,L180)+SUM(L186,L192,L198,L204,L210,L216,L222,L228,L234,L240,L246,L252,L258,L264,L270,L276,L282,L288,L294,L300,L306,L312,L318,L324,L330,L336,L342,L348,L354,L360)+SUM(L366,L372,L378,L384,L390)</f>
        <v>0</v>
      </c>
      <c r="M402" s="41">
        <f aca="true" t="shared" si="103" ref="M402:O403">SUM(M6,M12,M18,M24,M30,M36,M42,M48,M54,M60,M66,M72,M78,M84,M90,M96,M102,M108,M114,M120,M126,M132,M138,M144,M150,M156,M162,M168,M174,M180)+SUM(M186,M192,M198,M204,M210,M216,M222,M228,M234,M240,M246,M252,M258,M264,M270,M276,M282,M288,M294,M300,M306,M312,M318,M324,M330,M336,M342,M348,M354,M360)+SUM(M366,M372,M378,M384,M390,M396)</f>
        <v>125</v>
      </c>
      <c r="N402" s="41">
        <f t="shared" si="103"/>
        <v>0</v>
      </c>
      <c r="O402" s="42">
        <f t="shared" si="103"/>
        <v>0</v>
      </c>
      <c r="P402" s="41">
        <f>SUM(P6,P12,P18,P24,P30,P36,P42,P48,P54,P60,P66,P72,P78,P84,P90,P96,P102,P108,P114,P120,P126,P132,P138,P144,P150,P156,P162,P168,P174,P180)+SUM(P186,P192,P198,P204,P210,P216,P222,P228,P234,P240,P246,P252,P258,P264,P270,P276,P282,P288,P294,P300,P306,P312,P318,P324,P330,P336,P342,P348,P354,P360)+SUM(P366,P372,P378,P384,P390,P396)</f>
        <v>12895.83</v>
      </c>
    </row>
    <row r="403" spans="3:16" ht="15.75">
      <c r="C403" s="9" t="s">
        <v>142</v>
      </c>
      <c r="D403" s="41">
        <f>SUM(D7,D13,D19,D25,D31,D37,D43,D49,D55,D61,D67,D73,D79,D85,D91,D97,D103,D109,D115,D121,D127,D133,D139,D145,D151,D157,D163,D169,D175,D181)+SUM(D187,D193,D199,D205,D211,D217,D223,D229,D235,D241,D247,D253,D259,D265,D271,D277,D283,D289,D295,D301,D307,D313,D319,D325,D331,D337,D343,D349,D355,D361)+SUM(D367,D373,D379)</f>
        <v>2535295.59</v>
      </c>
      <c r="E403" s="41">
        <f t="shared" si="102"/>
        <v>2771966.2199999997</v>
      </c>
      <c r="F403" s="41">
        <f t="shared" si="102"/>
        <v>2591689.24</v>
      </c>
      <c r="G403" s="41">
        <f t="shared" si="102"/>
        <v>2708874.64</v>
      </c>
      <c r="H403" s="41">
        <f t="shared" si="102"/>
        <v>2714539.87</v>
      </c>
      <c r="I403" s="41">
        <f t="shared" si="102"/>
        <v>2756328.4800000004</v>
      </c>
      <c r="J403" s="41">
        <f t="shared" si="102"/>
        <v>2832365.0700000003</v>
      </c>
      <c r="K403" s="41">
        <f>SUM(K7,K13,K19,K25,K31,K37,K43,K49,K55,K61,K67,K73,K79,K85,K91,K97,K103,K109,K115,K121,K127,K133,K139,K145,K151,K157,K163,K169,K175,K181)+SUM(K187,K193,K199,K205,K211,K217,K223,K229,K235,K241,K247,K253,K259,K265,K271,K277,K283,K289,K295,K301,K307,K313,K319,K325,K331,K337,K343,K349,K355,K361)+SUM(K367,K373,K379,K385)</f>
        <v>2832373.3900000006</v>
      </c>
      <c r="L403" s="41">
        <f>SUM(L7,L13,L19,L25,L31,L37,L43,L49,L55,L61,L67,L73,L79,L85,L91,L97,L103,L109,L115,L121,L127,L133,L139,L145,L151,L157,L163,L169,L175,L181)+SUM(L187,L193,L199,L205,L211,L217,L223,L229,L235,L241,L247,L253,L259,L265,L271,L277,L283,L289,L295,L301,L307,L313,L319,L325,L331,L337,L343,L349,L355,L361)+SUM(L367,L373,L379,L385,L391)</f>
        <v>2831918.1900000004</v>
      </c>
      <c r="M403" s="41">
        <f t="shared" si="103"/>
        <v>2862559.1900000004</v>
      </c>
      <c r="N403" s="41">
        <f t="shared" si="103"/>
        <v>2869494.79</v>
      </c>
      <c r="O403" s="42">
        <f t="shared" si="103"/>
        <v>2946870.33</v>
      </c>
      <c r="P403" s="41">
        <f>SUM(P7,P13,P19,P25,P31,P37,P43,P49,P55,P61,P67,P73,P79,P85,P91,P97,P103,P109,P115,P121,P127,P133,P139,P145,P151,P157,P163,P169,P175,P181)+SUM(P187,P193,P199,P205,P211,P217,P223,P229,P235,P241,P247,P253,P259,P265,P271,P277,P283,P289,P295,P301,P307,P313,P319,P325,P331,P337,P343,P349,P355,P361)+SUM(P367,P373,P379,P385,P391,P397)</f>
        <v>33254275</v>
      </c>
    </row>
    <row r="404" spans="3:16" ht="15.75">
      <c r="C404" s="43" t="s">
        <v>143</v>
      </c>
      <c r="D404" s="41">
        <f>SUM(D8,D14,D20,D26,D32,D38,D44,D50,D56,D62,D68,D74,D80,D86,D92,D98,D104,D110,D116,D122,D128,D134,D140,D146,D152,D158,D164,D170,D176,D182)+SUM(D188,D194,D200,D206,D212,D218,D224,D230,D236,D242,D248,D254,D260,D266,D272,D278,D284,D290,D296,D302,D308,D314,D320,D326,D332,D338,D344,D350,D356,D362)+SUM(D368,D374,D380)</f>
        <v>2575097.8600000003</v>
      </c>
      <c r="E404" s="41">
        <f t="shared" si="102"/>
        <v>2802946.84</v>
      </c>
      <c r="F404" s="41">
        <f t="shared" si="102"/>
        <v>2620764.4400000004</v>
      </c>
      <c r="G404" s="41">
        <f t="shared" si="102"/>
        <v>2737840.6700000004</v>
      </c>
      <c r="H404" s="41">
        <f t="shared" si="102"/>
        <v>2744937.1600000006</v>
      </c>
      <c r="I404" s="41">
        <f t="shared" si="102"/>
        <v>2785894.100000001</v>
      </c>
      <c r="J404" s="41">
        <f t="shared" si="102"/>
        <v>2861908.700000001</v>
      </c>
      <c r="K404" s="41">
        <f>SUM(K8,K14,K20,K26,K32,K38,K44,K50,K56,K62,K68,K74,K80,K86,K92,K98,K104,K110,K116,K122,K128,K134,K140,K146,K152,K158,K164,K170,K176,K182)+SUM(K188,K194,K200,K206,K212,K218,K224,K230,K236,K242,K248,K254,K260,K266,K272,K278,K284,K290,K296,K302,K308,K314,K320,K326,K332,K338,K344,K350,K356,K362)+SUM(K368,K374,K380,K386)</f>
        <v>2864185.360000001</v>
      </c>
      <c r="L404" s="41">
        <f>SUM(L8,L14,L20,L26,L32,L38,L44,L50,L56,L62,L68,L74,L80,L86,L92,L98,L104,L110,L116,L122,L128,L134,L140,L146,L152,L158,L164,L170,L176,L182)+SUM(L188,L194,L200,L206,L212,L218,L224,L230,L236,L242,L248,L254,L260,L266,L272,L278,L284,L290,L296,L302,L308,L314,L320,L326,L332,L338,L344,L350,L356,L362)+SUM(L368,L374,L380,L386,L392)</f>
        <v>2862536.400000001</v>
      </c>
      <c r="M404" s="41">
        <f>SUM(M8,M14,M20,M26,M32,M38,M44,M50,M56,M62,M68,M74,M80,M86,M92,M98,M104,M110,M116,M122,M128,M134,M140,M146,M152,M158,M164,M170,M176,M182)+SUM(M188,M194,M200,M206,M212,M218,M224,M230,M236,M242,M248,M254,M260,M266,M272,M278,M284,M290,M296,M302,M308,M314,M320,M326,M332,M338,M344,M350,M356,M362)+SUM(M368,M374,M380,M386,M392,M398)</f>
        <v>2894931.5500000007</v>
      </c>
      <c r="N404" s="41">
        <f>SUM(N8,N14,N20,N26,N32,N38,N44,N50,N56,N62,N68,N74,N80,N86,N92,N98,N104,N110,N116,N122,N128,N134,N140,N146,N152,N158,N164,N170,N176,N182)+SUM(N188,N194,N200,N206,N212,N218,N224,N230,N236,N242,N248,N254,N260,N266,N272,N278,N284,N290,N296,N302,N308,N314,N320,N326,N332,N338,N344,N350,N356,N362)+SUM(N368,N374,N380,N386,N392,N398)</f>
        <v>2901684.6500000004</v>
      </c>
      <c r="O404" s="42">
        <f>SUM(O8,O14,O20,O26,O32,O38,O44,O50,O56,O62,O68,O74,O80,O86,O92,O98,O104,O110,O116,O122,O128,O134,O140,O146,O152,O158,O164,O170,O176,O182)+SUM(O188,O194,O200,O206,O212,O218,O224,O230,O236,O242,O248,O254,O260,O266,O272,O278,O284,O290,O296,O302,O308,O314,O320,O326,O332,O338,O344,O350,O356,O362)+SUM(O368,O374,O380,O386,O392,O398)</f>
        <v>2978932.86</v>
      </c>
      <c r="P404" s="41">
        <f>SUM(P8,P14,P20,P26,P32,P38,P44,P50,P56,P62,P68,P74,P80,P86,P92,P98,P104,P110,P116,P122,P128,P134,P140,P146,P152,P158,P164,P170,P176,P182)+SUM(P188,P194,P200,P206,P212,P218,P224,P230,P236,P242,P248,P254,P260,P266,P272,P278,P284,P290,P296,P302,P308,P314,P320,P326,P332,P338,P344,P350,P356,P362)+SUM(P368,P374,P380,P386,P392,P398)</f>
        <v>33631660.59</v>
      </c>
    </row>
    <row r="405" ht="12.75">
      <c r="C405" s="9"/>
    </row>
    <row r="406" spans="2:8" ht="21">
      <c r="B406" s="23" t="s">
        <v>11</v>
      </c>
      <c r="C406" s="44" t="s">
        <v>144</v>
      </c>
      <c r="H406" s="45" t="s">
        <v>145</v>
      </c>
    </row>
    <row r="407" spans="2:3" ht="21">
      <c r="B407" s="26" t="s">
        <v>20</v>
      </c>
      <c r="C407" s="46" t="s">
        <v>146</v>
      </c>
    </row>
    <row r="408" spans="2:16" ht="21">
      <c r="B408" s="21" t="s">
        <v>8</v>
      </c>
      <c r="C408" s="47" t="s">
        <v>147</v>
      </c>
      <c r="P408" s="48" t="s">
        <v>145</v>
      </c>
    </row>
    <row r="409" ht="12.75">
      <c r="C409" s="9"/>
    </row>
    <row r="410" ht="12.75">
      <c r="C410" s="9"/>
    </row>
    <row r="411" ht="12.75">
      <c r="C411" s="9"/>
    </row>
    <row r="412" ht="12.75">
      <c r="C412" s="9"/>
    </row>
    <row r="413" ht="12.75">
      <c r="C413" s="9"/>
    </row>
    <row r="414" ht="12.75">
      <c r="C414" s="9"/>
    </row>
    <row r="415" ht="12.75">
      <c r="C415" s="9"/>
    </row>
    <row r="416" ht="12.75">
      <c r="C416" s="9"/>
    </row>
    <row r="417" ht="12.75">
      <c r="C417" s="9"/>
    </row>
    <row r="418" ht="12.75">
      <c r="C418" s="9"/>
    </row>
    <row r="419" ht="12.75">
      <c r="C419" s="9"/>
    </row>
    <row r="420" ht="12.75">
      <c r="C420" s="9"/>
    </row>
    <row r="421" ht="12.75">
      <c r="C421" s="9"/>
    </row>
    <row r="422" ht="12.75">
      <c r="C422" s="9"/>
    </row>
    <row r="423" ht="12.75">
      <c r="C423" s="9"/>
    </row>
    <row r="424" ht="12.75">
      <c r="C424" s="9"/>
    </row>
    <row r="425" ht="12.75">
      <c r="C425" s="9"/>
    </row>
    <row r="426" ht="12.75">
      <c r="C426" s="9"/>
    </row>
    <row r="427" ht="12.75">
      <c r="C427" s="9"/>
    </row>
    <row r="428" ht="12.75">
      <c r="C428" s="9"/>
    </row>
    <row r="429" ht="12.75">
      <c r="C429" s="9"/>
    </row>
    <row r="430" ht="12.75">
      <c r="C430" s="9"/>
    </row>
    <row r="431" ht="12.75">
      <c r="C431" s="9"/>
    </row>
    <row r="432" ht="12.75">
      <c r="C432" s="9"/>
    </row>
    <row r="433" ht="12.75">
      <c r="C433" s="9"/>
    </row>
    <row r="434" ht="12.75">
      <c r="C434" s="9"/>
    </row>
    <row r="435" ht="12.75">
      <c r="C435" s="9"/>
    </row>
    <row r="436" ht="12.75">
      <c r="C436" s="9"/>
    </row>
    <row r="437" ht="12.75">
      <c r="C437" s="9"/>
    </row>
    <row r="438" ht="12.75">
      <c r="C438" s="9"/>
    </row>
    <row r="439" ht="12.75">
      <c r="C439" s="9"/>
    </row>
    <row r="440" ht="12.75">
      <c r="C440" s="9"/>
    </row>
    <row r="441" ht="12.75">
      <c r="C441" s="9"/>
    </row>
    <row r="442" ht="12.75">
      <c r="C442" s="9"/>
    </row>
    <row r="443" ht="12.75">
      <c r="C443" s="9"/>
    </row>
    <row r="444" ht="12.75">
      <c r="C444" s="9"/>
    </row>
    <row r="445" ht="12.75">
      <c r="C445" s="9"/>
    </row>
    <row r="446" ht="12.75">
      <c r="C446" s="9"/>
    </row>
    <row r="447" ht="12.75">
      <c r="C447" s="9"/>
    </row>
    <row r="448" ht="12.75">
      <c r="C448" s="9"/>
    </row>
    <row r="449" ht="12.75">
      <c r="C449" s="9"/>
    </row>
    <row r="450" ht="12.75">
      <c r="C450" s="9"/>
    </row>
    <row r="451" ht="12.75">
      <c r="C451" s="9"/>
    </row>
    <row r="452" ht="12.75">
      <c r="C452" s="9"/>
    </row>
    <row r="453" ht="12.75">
      <c r="C453" s="9"/>
    </row>
    <row r="454" ht="12.75">
      <c r="C454" s="9"/>
    </row>
    <row r="455" ht="12.75">
      <c r="C455" s="9"/>
    </row>
    <row r="456" ht="12.75">
      <c r="C456" s="9"/>
    </row>
  </sheetData>
  <sheetProtection/>
  <printOptions/>
  <pageMargins left="0.5" right="0" top="0" bottom="0.5" header="0.5" footer="0.5"/>
  <pageSetup horizontalDpi="600" verticalDpi="600" orientation="landscape" scale="65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Mary Lynn Christel</cp:lastModifiedBy>
  <dcterms:created xsi:type="dcterms:W3CDTF">2010-06-16T20:59:41Z</dcterms:created>
  <dcterms:modified xsi:type="dcterms:W3CDTF">2010-06-16T21:00:47Z</dcterms:modified>
  <cp:category/>
  <cp:version/>
  <cp:contentType/>
  <cp:contentStatus/>
</cp:coreProperties>
</file>